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ої робочі документи\проект 2026\ЗАТВЕРДЖЕНО БЮДЖЕТ 2026 року\на виконком\на затвердження 22.12.2025 року\зміни 2026 рік\матеріали на сесію 05.2026\"/>
    </mc:Choice>
  </mc:AlternateContent>
  <xr:revisionPtr revIDLastSave="0" documentId="13_ncr:1_{DF04DA0A-4D87-4733-A53C-D2446A4E9768}" xr6:coauthVersionLast="47" xr6:coauthVersionMax="47" xr10:uidLastSave="{00000000-0000-0000-0000-000000000000}"/>
  <bookViews>
    <workbookView xWindow="-120" yWindow="-120" windowWidth="38640" windowHeight="21240" activeTab="2" xr2:uid="{3E4A3468-673F-4168-8117-0847DFE7C1ED}"/>
  </bookViews>
  <sheets>
    <sheet name="ФІІН.ПЛАН 2026 РОКУ" sheetId="5" r:id="rId1"/>
    <sheet name="ФІІН.ПЛАН 2026 РОКУ (2)" sheetId="6" r:id="rId2"/>
    <sheet name="ФІІН.ПЛАН 05.2026 РОКУ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7" l="1"/>
  <c r="O60" i="7" l="1"/>
  <c r="L51" i="7"/>
  <c r="I52" i="7"/>
  <c r="I43" i="7"/>
  <c r="G43" i="7" s="1"/>
  <c r="I65" i="7"/>
  <c r="G65" i="7" s="1"/>
  <c r="I63" i="7"/>
  <c r="G99" i="7"/>
  <c r="E99" i="7" s="1"/>
  <c r="G98" i="7"/>
  <c r="E98" i="7" s="1"/>
  <c r="O97" i="7"/>
  <c r="G97" i="7"/>
  <c r="E97" i="7" s="1"/>
  <c r="G96" i="7"/>
  <c r="E96" i="7" s="1"/>
  <c r="L95" i="7"/>
  <c r="G95" i="7"/>
  <c r="E95" i="7" s="1"/>
  <c r="I94" i="7"/>
  <c r="G94" i="7"/>
  <c r="E94" i="7" s="1"/>
  <c r="O93" i="7"/>
  <c r="L93" i="7"/>
  <c r="I93" i="7"/>
  <c r="H93" i="7"/>
  <c r="G93" i="7" s="1"/>
  <c r="E93" i="7" s="1"/>
  <c r="F93" i="7"/>
  <c r="O86" i="7"/>
  <c r="L86" i="7"/>
  <c r="I86" i="7"/>
  <c r="H86" i="7"/>
  <c r="G86" i="7"/>
  <c r="E86" i="7"/>
  <c r="I76" i="7"/>
  <c r="G76" i="7"/>
  <c r="G75" i="7" s="1"/>
  <c r="G74" i="7" s="1"/>
  <c r="I75" i="7"/>
  <c r="I74" i="7" s="1"/>
  <c r="O74" i="7"/>
  <c r="L74" i="7"/>
  <c r="O72" i="7"/>
  <c r="L72" i="7"/>
  <c r="I72" i="7"/>
  <c r="H72" i="7"/>
  <c r="G72" i="7" s="1"/>
  <c r="I69" i="7"/>
  <c r="H69" i="7"/>
  <c r="G69" i="7"/>
  <c r="I67" i="7"/>
  <c r="G67" i="7" s="1"/>
  <c r="O66" i="7"/>
  <c r="L66" i="7"/>
  <c r="G66" i="7" s="1"/>
  <c r="I66" i="7"/>
  <c r="H66" i="7"/>
  <c r="G64" i="7"/>
  <c r="G63" i="7"/>
  <c r="G62" i="7"/>
  <c r="O61" i="7"/>
  <c r="L61" i="7"/>
  <c r="I61" i="7"/>
  <c r="H61" i="7"/>
  <c r="E61" i="7"/>
  <c r="L60" i="7"/>
  <c r="G60" i="7"/>
  <c r="O59" i="7"/>
  <c r="L59" i="7"/>
  <c r="I59" i="7"/>
  <c r="H59" i="7"/>
  <c r="G59" i="7" s="1"/>
  <c r="O58" i="7"/>
  <c r="O71" i="7" s="1"/>
  <c r="L58" i="7"/>
  <c r="L71" i="7" s="1"/>
  <c r="I58" i="7"/>
  <c r="H58" i="7"/>
  <c r="H57" i="7"/>
  <c r="G57" i="7"/>
  <c r="G54" i="7"/>
  <c r="G53" i="7"/>
  <c r="O51" i="7"/>
  <c r="O50" i="7" s="1"/>
  <c r="O48" i="7" s="1"/>
  <c r="L50" i="7"/>
  <c r="L48" i="7" s="1"/>
  <c r="H51" i="7"/>
  <c r="H50" i="7"/>
  <c r="G46" i="7"/>
  <c r="G45" i="7"/>
  <c r="L44" i="7"/>
  <c r="L41" i="7" s="1"/>
  <c r="L83" i="7" s="1"/>
  <c r="I44" i="7"/>
  <c r="H44" i="7"/>
  <c r="H43" i="7"/>
  <c r="O42" i="7"/>
  <c r="H42" i="7"/>
  <c r="G61" i="7" l="1"/>
  <c r="I71" i="7"/>
  <c r="G58" i="7"/>
  <c r="O84" i="7"/>
  <c r="G42" i="7"/>
  <c r="I51" i="7"/>
  <c r="I50" i="7" s="1"/>
  <c r="I48" i="7" s="1"/>
  <c r="I84" i="7" s="1"/>
  <c r="G52" i="7"/>
  <c r="H41" i="7"/>
  <c r="G44" i="7"/>
  <c r="G51" i="7"/>
  <c r="I41" i="7"/>
  <c r="I83" i="7" s="1"/>
  <c r="G50" i="7"/>
  <c r="H83" i="7"/>
  <c r="H71" i="7"/>
  <c r="G71" i="7" s="1"/>
  <c r="O41" i="7"/>
  <c r="O83" i="7" s="1"/>
  <c r="L84" i="7"/>
  <c r="H48" i="7"/>
  <c r="I67" i="6"/>
  <c r="I43" i="6"/>
  <c r="O97" i="6"/>
  <c r="L95" i="6"/>
  <c r="G95" i="6" s="1"/>
  <c r="E95" i="6" s="1"/>
  <c r="H93" i="6"/>
  <c r="L60" i="6"/>
  <c r="G60" i="6" s="1"/>
  <c r="O42" i="6"/>
  <c r="H42" i="6"/>
  <c r="H44" i="6"/>
  <c r="H41" i="6" s="1"/>
  <c r="L44" i="6"/>
  <c r="I44" i="6"/>
  <c r="G46" i="6"/>
  <c r="G53" i="6"/>
  <c r="O66" i="6"/>
  <c r="L66" i="6"/>
  <c r="I66" i="6"/>
  <c r="H66" i="6"/>
  <c r="O51" i="6"/>
  <c r="O50" i="6" s="1"/>
  <c r="L51" i="6"/>
  <c r="L50" i="6" s="1"/>
  <c r="I51" i="6"/>
  <c r="H51" i="6"/>
  <c r="H50" i="6" s="1"/>
  <c r="H57" i="6"/>
  <c r="H43" i="6"/>
  <c r="I69" i="6"/>
  <c r="H69" i="6"/>
  <c r="G99" i="6"/>
  <c r="E99" i="6" s="1"/>
  <c r="G98" i="6"/>
  <c r="E98" i="6" s="1"/>
  <c r="G97" i="6"/>
  <c r="E97" i="6" s="1"/>
  <c r="G96" i="6"/>
  <c r="E96" i="6" s="1"/>
  <c r="I94" i="6"/>
  <c r="G94" i="6"/>
  <c r="E94" i="6" s="1"/>
  <c r="O93" i="6"/>
  <c r="L93" i="6"/>
  <c r="I93" i="6"/>
  <c r="G93" i="6" s="1"/>
  <c r="F93" i="6"/>
  <c r="O86" i="6"/>
  <c r="L86" i="6"/>
  <c r="I86" i="6"/>
  <c r="H86" i="6"/>
  <c r="G86" i="6"/>
  <c r="E86" i="6"/>
  <c r="I76" i="6"/>
  <c r="G76" i="6"/>
  <c r="G75" i="6" s="1"/>
  <c r="G74" i="6" s="1"/>
  <c r="I75" i="6"/>
  <c r="I74" i="6" s="1"/>
  <c r="O74" i="6"/>
  <c r="L74" i="6"/>
  <c r="O72" i="6"/>
  <c r="L72" i="6"/>
  <c r="I72" i="6"/>
  <c r="G69" i="6"/>
  <c r="G67" i="6"/>
  <c r="G65" i="6"/>
  <c r="G64" i="6"/>
  <c r="G63" i="6"/>
  <c r="G62" i="6"/>
  <c r="G61" i="6" s="1"/>
  <c r="O61" i="6"/>
  <c r="L61" i="6"/>
  <c r="I61" i="6"/>
  <c r="H61" i="6"/>
  <c r="E61" i="6"/>
  <c r="O59" i="6"/>
  <c r="L59" i="6"/>
  <c r="I59" i="6"/>
  <c r="H59" i="6"/>
  <c r="O58" i="6"/>
  <c r="O71" i="6" s="1"/>
  <c r="L58" i="6"/>
  <c r="I58" i="6"/>
  <c r="G57" i="6"/>
  <c r="H58" i="6"/>
  <c r="G54" i="6"/>
  <c r="G52" i="6"/>
  <c r="G45" i="6"/>
  <c r="O41" i="6"/>
  <c r="O83" i="6" s="1"/>
  <c r="L41" i="6"/>
  <c r="L83" i="6" s="1"/>
  <c r="I41" i="6"/>
  <c r="I83" i="6" s="1"/>
  <c r="F93" i="5"/>
  <c r="E86" i="5"/>
  <c r="I71" i="6" l="1"/>
  <c r="H48" i="6"/>
  <c r="H84" i="6" s="1"/>
  <c r="G41" i="7"/>
  <c r="G83" i="7"/>
  <c r="H84" i="7"/>
  <c r="G84" i="7" s="1"/>
  <c r="G48" i="7"/>
  <c r="G42" i="6"/>
  <c r="G44" i="6"/>
  <c r="G41" i="6"/>
  <c r="G66" i="6"/>
  <c r="L48" i="6"/>
  <c r="L84" i="6" s="1"/>
  <c r="G51" i="6"/>
  <c r="L71" i="6"/>
  <c r="O48" i="6"/>
  <c r="O84" i="6" s="1"/>
  <c r="G59" i="6"/>
  <c r="G43" i="6"/>
  <c r="H83" i="6"/>
  <c r="G83" i="6" s="1"/>
  <c r="G58" i="6"/>
  <c r="H71" i="6"/>
  <c r="G71" i="6" s="1"/>
  <c r="G56" i="6"/>
  <c r="I50" i="6"/>
  <c r="G50" i="6" s="1"/>
  <c r="H72" i="6"/>
  <c r="G72" i="6" s="1"/>
  <c r="E93" i="6"/>
  <c r="O94" i="5"/>
  <c r="L98" i="5"/>
  <c r="L94" i="5"/>
  <c r="I94" i="5"/>
  <c r="I96" i="5"/>
  <c r="I97" i="5"/>
  <c r="I95" i="5"/>
  <c r="O93" i="5"/>
  <c r="L93" i="5"/>
  <c r="I93" i="5"/>
  <c r="O66" i="5"/>
  <c r="H56" i="5"/>
  <c r="O51" i="5"/>
  <c r="L51" i="5"/>
  <c r="I51" i="5"/>
  <c r="I50" i="5" s="1"/>
  <c r="H51" i="5"/>
  <c r="L66" i="5"/>
  <c r="I66" i="5"/>
  <c r="H66" i="5"/>
  <c r="G86" i="5"/>
  <c r="H50" i="5"/>
  <c r="I61" i="5"/>
  <c r="H61" i="5"/>
  <c r="O41" i="5"/>
  <c r="L41" i="5"/>
  <c r="I41" i="5"/>
  <c r="H41" i="5"/>
  <c r="I59" i="5"/>
  <c r="G52" i="5"/>
  <c r="Y84" i="7" l="1"/>
  <c r="H72" i="5"/>
  <c r="H93" i="5"/>
  <c r="G93" i="5" s="1"/>
  <c r="E93" i="5" s="1"/>
  <c r="I48" i="6"/>
  <c r="I84" i="6" s="1"/>
  <c r="O72" i="5"/>
  <c r="I72" i="5"/>
  <c r="L59" i="5"/>
  <c r="O59" i="5"/>
  <c r="G48" i="6" l="1"/>
  <c r="G84" i="6"/>
  <c r="Y84" i="6" s="1"/>
  <c r="O58" i="5"/>
  <c r="O71" i="5" s="1"/>
  <c r="I58" i="5"/>
  <c r="H58" i="5"/>
  <c r="I71" i="5" l="1"/>
  <c r="E61" i="5"/>
  <c r="G99" i="5" l="1"/>
  <c r="E99" i="5" s="1"/>
  <c r="G98" i="5"/>
  <c r="E98" i="5" s="1"/>
  <c r="G97" i="5"/>
  <c r="E97" i="5" s="1"/>
  <c r="G95" i="5"/>
  <c r="E95" i="5" s="1"/>
  <c r="G94" i="5"/>
  <c r="E94" i="5" s="1"/>
  <c r="O86" i="5"/>
  <c r="L86" i="5"/>
  <c r="I86" i="5"/>
  <c r="H86" i="5"/>
  <c r="I76" i="5"/>
  <c r="G76" i="5"/>
  <c r="G75" i="5" s="1"/>
  <c r="G74" i="5" s="1"/>
  <c r="I75" i="5"/>
  <c r="I74" i="5" s="1"/>
  <c r="I48" i="5" s="1"/>
  <c r="O74" i="5"/>
  <c r="L74" i="5"/>
  <c r="G69" i="5"/>
  <c r="G67" i="5"/>
  <c r="G65" i="5"/>
  <c r="G64" i="5"/>
  <c r="G63" i="5"/>
  <c r="L61" i="5"/>
  <c r="G62" i="5"/>
  <c r="O61" i="5"/>
  <c r="G60" i="5"/>
  <c r="H59" i="5"/>
  <c r="G57" i="5"/>
  <c r="L72" i="5"/>
  <c r="G56" i="5"/>
  <c r="G54" i="5"/>
  <c r="G53" i="5"/>
  <c r="I83" i="5"/>
  <c r="L50" i="5"/>
  <c r="G51" i="5"/>
  <c r="O50" i="5"/>
  <c r="G45" i="5"/>
  <c r="O83" i="5"/>
  <c r="G42" i="5"/>
  <c r="H48" i="5" l="1"/>
  <c r="H84" i="5" s="1"/>
  <c r="H71" i="5"/>
  <c r="I84" i="5"/>
  <c r="O48" i="5"/>
  <c r="O84" i="5" s="1"/>
  <c r="L83" i="5"/>
  <c r="G96" i="5"/>
  <c r="E96" i="5" s="1"/>
  <c r="L58" i="5"/>
  <c r="G58" i="5" s="1"/>
  <c r="G72" i="5"/>
  <c r="G59" i="5"/>
  <c r="L71" i="5"/>
  <c r="G66" i="5"/>
  <c r="G61" i="5"/>
  <c r="G50" i="5"/>
  <c r="G43" i="5"/>
  <c r="G44" i="5"/>
  <c r="L48" i="5" l="1"/>
  <c r="G48" i="5" s="1"/>
  <c r="G71" i="5"/>
  <c r="G41" i="5"/>
  <c r="H83" i="5"/>
  <c r="G83" i="5" s="1"/>
  <c r="L84" i="5" l="1"/>
  <c r="G84" i="5" s="1"/>
  <c r="Y84" i="5" s="1"/>
</calcChain>
</file>

<file path=xl/sharedStrings.xml><?xml version="1.0" encoding="utf-8"?>
<sst xmlns="http://schemas.openxmlformats.org/spreadsheetml/2006/main" count="459" uniqueCount="131">
  <si>
    <t>ПОГОДЖЕНО</t>
  </si>
  <si>
    <t>Додаток 1 до Порядку</t>
  </si>
  <si>
    <t>Підприємство</t>
  </si>
  <si>
    <t>КОМУНАЛЬНЕ НЕКОМЕРЦІЙНЕ ПІДПРИЄМСТВО "ЦЕНТР ПЕРВИННОЇ МЕДИКО-САНІТАРНОЇ ДОПОМОГИ" ФОНТАНСЬКОЇ СІЛЬСЬКОЇ РАДИ ОДЕСЬКОГО РАЙОНУ ОДЕСЬКОЇ ОБЛАСТІ</t>
  </si>
  <si>
    <t>Коди</t>
  </si>
  <si>
    <t>Орган управління</t>
  </si>
  <si>
    <t>Фонтанська сільська рада</t>
  </si>
  <si>
    <t>За ЄДРПОУ</t>
  </si>
  <si>
    <t>Галузь</t>
  </si>
  <si>
    <t>Охорона здоровя</t>
  </si>
  <si>
    <t>За СПОДУ</t>
  </si>
  <si>
    <t>Вид економічної діяльності</t>
  </si>
  <si>
    <t>Загальна медична практика</t>
  </si>
  <si>
    <t>За ЗКНГ</t>
  </si>
  <si>
    <t>Місцезнаходження</t>
  </si>
  <si>
    <t>За КВЕД</t>
  </si>
  <si>
    <t>86.21</t>
  </si>
  <si>
    <t>Телефон</t>
  </si>
  <si>
    <t>Керівник/директор</t>
  </si>
  <si>
    <t>МАНДРИК Юрій</t>
  </si>
  <si>
    <t>тис грн</t>
  </si>
  <si>
    <t>у тому числі за квартал</t>
  </si>
  <si>
    <t>Показники</t>
  </si>
  <si>
    <t>Код рядка</t>
  </si>
  <si>
    <t>Факт минулого року</t>
  </si>
  <si>
    <t>Плановий рік</t>
  </si>
  <si>
    <t>I</t>
  </si>
  <si>
    <t>II</t>
  </si>
  <si>
    <t>III</t>
  </si>
  <si>
    <t>IV</t>
  </si>
  <si>
    <t>1.Формування фінансових результатів</t>
  </si>
  <si>
    <t>ДОХОДИ</t>
  </si>
  <si>
    <t>Дохід (виручка)від реалізації продукції(товарів,робіт , послуг)всього,</t>
  </si>
  <si>
    <t>в тому числі за рахунок бюджетних коштів(кошти НСЗУ)</t>
  </si>
  <si>
    <t>Дохід з місцевого бюджету за цільовою програмою , ут.ч.</t>
  </si>
  <si>
    <t>Інші надходження(доходи) у т.ч</t>
  </si>
  <si>
    <t>дохід від операційної оренди активів</t>
  </si>
  <si>
    <t>від надання платних послуг</t>
  </si>
  <si>
    <t>ВИДАТКИ</t>
  </si>
  <si>
    <t>Собівартість реалізованої продукції(товарів,робіт,послуг)</t>
  </si>
  <si>
    <t>в т.ч. за економічними елементами</t>
  </si>
  <si>
    <t>Матеріальні затрати , в тому числі</t>
  </si>
  <si>
    <t>1051.1</t>
  </si>
  <si>
    <t>1051.2</t>
  </si>
  <si>
    <t>продукти харчування</t>
  </si>
  <si>
    <t>1051.3</t>
  </si>
  <si>
    <t>Амортизація</t>
  </si>
  <si>
    <t>Інші оперційні витрати, в тому числі</t>
  </si>
  <si>
    <t>Оплата водопостачання та водовідведення</t>
  </si>
  <si>
    <t>1055.1</t>
  </si>
  <si>
    <t>Оплата електроенергії</t>
  </si>
  <si>
    <t>1055.2</t>
  </si>
  <si>
    <t xml:space="preserve">Оплата прирооднього газу </t>
  </si>
  <si>
    <t>1055.3</t>
  </si>
  <si>
    <t xml:space="preserve">Оплата інших енергоносіїв та комунальних послуг </t>
  </si>
  <si>
    <t>1055.4</t>
  </si>
  <si>
    <t>Витрати на соціальне забезпечення населення за рахунок державних та місцевих цільових програм(Постанова №1303)</t>
  </si>
  <si>
    <t>II Розрахунки з бюджетом.</t>
  </si>
  <si>
    <t>Сплата податків та зборів до Державного бюджету України (податкові платежі)</t>
  </si>
  <si>
    <t>Сплата податків та зборів до місцевого бюджету (податкові платежі)ПДФО+ВЗ</t>
  </si>
  <si>
    <t>III Інвестиційна діяльність.</t>
  </si>
  <si>
    <t>Доходи від інвестиційної діяльності , в т.ч.</t>
  </si>
  <si>
    <t>доходи з місцевого бюджету цільвого фінансування по капітальних видатках</t>
  </si>
  <si>
    <t>Капітальні інвестиції, в т.ч.</t>
  </si>
  <si>
    <t>капітальне будівництво</t>
  </si>
  <si>
    <t>придбання (виготовлення)основних засобів</t>
  </si>
  <si>
    <t>придбання (виготовлення)інших необоротних матеріальних активів</t>
  </si>
  <si>
    <t>-</t>
  </si>
  <si>
    <t xml:space="preserve">придбання (створення) нематеріальних активів </t>
  </si>
  <si>
    <t>модернізація, модифікація(добудова, дообладнання, реконструкція)основних засобів</t>
  </si>
  <si>
    <t>капітальний ремонт</t>
  </si>
  <si>
    <t xml:space="preserve">Усього доходів </t>
  </si>
  <si>
    <t>Усього видатків</t>
  </si>
  <si>
    <t>IV Дані про персонал та оплата праці</t>
  </si>
  <si>
    <t>Штатні одиниці -всього од.</t>
  </si>
  <si>
    <t>Керівник</t>
  </si>
  <si>
    <t>в т. ч. лікарські посади, ставки</t>
  </si>
  <si>
    <t>адміністративно-господарський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</si>
  <si>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</si>
  <si>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</si>
  <si>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</si>
  <si>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праці-всього (тис грн)</t>
  </si>
  <si>
    <t>лікарі</t>
  </si>
  <si>
    <t>Директор  КНП"ЦПМСД"</t>
  </si>
  <si>
    <t>Юрій МАНДРИК</t>
  </si>
  <si>
    <t>Головний бухгалтер</t>
  </si>
  <si>
    <t>Алла ОЛЬШАНСЬКА</t>
  </si>
  <si>
    <t xml:space="preserve">                                                                                      ФОНТАНСЬКОЇ СІЛЬСЬКОЇ РАДИ ОДЕСЬКОГО РАЙОНУ ОДЕСЬКОЇ ОБЛАСТІ</t>
  </si>
  <si>
    <t xml:space="preserve">                                                     КОМУНАЛЬНОГО НЕКОМЕРЦІЙНОГО ПІДПРИЄМСТВА "ЦЕНТР ПЕРВИННОЇ МЕДИКО-САНІТАРНОЇ ДОПОМОГИ"</t>
  </si>
  <si>
    <t>вул.Центральна42, с.Фонтанка,Одеський район, Одеська область,67571</t>
  </si>
  <si>
    <t>медикаменти та перв'чзувальні матеріали(місцевий бюджет)</t>
  </si>
  <si>
    <t>предмети , матеріали ,обладнання та інвентар в тому числі</t>
  </si>
  <si>
    <t>1051.1.1</t>
  </si>
  <si>
    <t>Оплата послуг(крім комунальних)разом в тому числі</t>
  </si>
  <si>
    <t>предмети , матеріали ,обладнання та інвентар (кошти місцевого бюджету)</t>
  </si>
  <si>
    <t>Витрати на оплату праці(кошти місцевого бюджету)</t>
  </si>
  <si>
    <t>1051.2.1</t>
  </si>
  <si>
    <t>медикаменти та перв'чзувальні матеріали</t>
  </si>
  <si>
    <t>Відрахування на соціальні заходи(кошти місцевого бюджету)</t>
  </si>
  <si>
    <t>1053.1</t>
  </si>
  <si>
    <t>Оплата послуг(крім комунальних)кошти місцевого бюджету</t>
  </si>
  <si>
    <t>Витрати на плату праці разом (кошти НСЗУ)</t>
  </si>
  <si>
    <t>Відрахування на соціальні заходи(кошти НСЗУ</t>
  </si>
  <si>
    <t xml:space="preserve">ФІНАНСОВИЙ  ПЛАН </t>
  </si>
  <si>
    <t>Додаток 1</t>
  </si>
  <si>
    <t xml:space="preserve"> </t>
  </si>
  <si>
    <t xml:space="preserve">до Порядку складання, затвердження та контролю </t>
  </si>
  <si>
    <t xml:space="preserve">виконання фінансових плану комунального підприємства 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</si>
  <si>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</si>
  <si>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</si>
  <si>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 xml:space="preserve">ПОГОДЖЕНО </t>
  </si>
  <si>
    <t>_Фонтанська сільська рада_</t>
  </si>
  <si>
    <t>Дослідження і розробки , окремі заходи по реалізайії державних (регіональних) програм</t>
  </si>
  <si>
    <t>1056.1.1</t>
  </si>
  <si>
    <t>НА 2026 рік</t>
  </si>
  <si>
    <t>План поточного року(фінансовий план 2025 року)</t>
  </si>
  <si>
    <t>Начальник відділу бухгалтерського обліку та фінансової звітності-головний бухгалтер</t>
  </si>
  <si>
    <t>В.о.сільського голови________________________________Андрій СЕРЕБРІЙ_____________</t>
  </si>
  <si>
    <t>Тетяна МИХАЙЛОВА</t>
  </si>
  <si>
    <t>Відділ житлово-комунального господарства, цивільного захисту та взаємодії з правоохоронними  органами, господарського забезпечення</t>
  </si>
  <si>
    <t xml:space="preserve">Начальник відділу </t>
  </si>
  <si>
    <t>Управління фінансів Фонтанської сільської ради_</t>
  </si>
  <si>
    <t>Начальник фінансового управління</t>
  </si>
  <si>
    <t>Євгенія КУРМЕЙ</t>
  </si>
  <si>
    <t>Олег ДМИТРІЄВ</t>
  </si>
  <si>
    <t>до рішення Фонтанської сільської ради  № 3560 -VIII  від  22.12. 2025року</t>
  </si>
  <si>
    <t>(  рішення сесії Фонтанської сільської ради  №3560-VIII  від 22.12. 2025року)</t>
  </si>
  <si>
    <t>до рішення Фонтанської сільської ради  № 3697 -VIII  від  20.02.2026 року</t>
  </si>
  <si>
    <t>(  рішення сесії Фонтанської сільської ради  №3697-VIII  від 20.02.2026 року)</t>
  </si>
  <si>
    <t>до рішення Фонтанської сільської ради  № 3840 -VIII  від  07.05.2026 року</t>
  </si>
  <si>
    <t>(  рішення сесії Фонтанської сільської ради  №3840-VIII  від 07.05.2026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</si>
</sst>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/>
    <xf numFmtId="0" fontId="14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2" fontId="1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 wrapText="1"/>
    </xf>
    <xf numFmtId="2" fontId="27" fillId="0" borderId="0" xfId="0" applyNumberFormat="1" applyFont="1"/>
    <xf numFmtId="0" fontId="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5" fillId="0" borderId="0" xfId="0" applyFont="1"/>
    <xf numFmtId="0" fontId="0" fillId="0" borderId="0" xfId="0"/>
    <xf numFmtId="0" fontId="15" fillId="0" borderId="0" xfId="0" applyFont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1" xfId="0" applyBorder="1"/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/>
    </xf>
    <xf numFmtId="0" fontId="0" fillId="0" borderId="17" xfId="0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0" applyFont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vertical="center" wrapText="1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0" fontId="26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FF00"/>
      <color rgb="FF00FFFF"/>
      <color rgb="FFFF0066"/>
      <color rgb="FFFF66CC"/>
      <color rgb="FFCC3300"/>
      <color rgb="FF993300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9FF2-3D16-4559-8EED-DCE124F24C7C}">
  <dimension ref="A2:Y109"/>
  <sheetViews>
    <sheetView topLeftCell="A27" workbookViewId="0">
      <selection activeCell="G42" sqref="G42"/>
    </sheetView>
  </sheetViews>
  <sheetFormatPr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125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41" t="s">
        <v>117</v>
      </c>
      <c r="F8" s="15"/>
      <c r="G8" s="15"/>
      <c r="H8" s="15"/>
    </row>
    <row r="9" spans="3:20" x14ac:dyDescent="0.25">
      <c r="C9" s="42" t="s">
        <v>118</v>
      </c>
      <c r="D9" s="63"/>
      <c r="E9" s="28" t="s">
        <v>126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>H41+I41+L41+O41</f>
        <v>35260.080000000002</v>
      </c>
      <c r="H41" s="31">
        <f>H42+H43+H44</f>
        <v>9222.9</v>
      </c>
      <c r="I41" s="120">
        <f>I42+I43+I44</f>
        <v>9094.6</v>
      </c>
      <c r="J41" s="88"/>
      <c r="K41" s="87"/>
      <c r="L41" s="120">
        <f>L42+L43+L44</f>
        <v>8805.48</v>
      </c>
      <c r="M41" s="88"/>
      <c r="N41" s="87"/>
      <c r="O41" s="120">
        <f>O42+O43+O44</f>
        <v>8137.1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22">
        <f>H42+I42+L42+O42</f>
        <v>25200</v>
      </c>
      <c r="H42" s="31">
        <v>6300</v>
      </c>
      <c r="I42" s="86">
        <v>6300</v>
      </c>
      <c r="J42" s="88"/>
      <c r="K42" s="87"/>
      <c r="L42" s="86">
        <v>6300</v>
      </c>
      <c r="M42" s="88"/>
      <c r="N42" s="87"/>
      <c r="O42" s="86">
        <v>6300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>H43+I43+L43+O43</f>
        <v>9710.08</v>
      </c>
      <c r="H43" s="31">
        <v>2835.4</v>
      </c>
      <c r="I43" s="120">
        <v>2707.1</v>
      </c>
      <c r="J43" s="122"/>
      <c r="K43" s="123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>H44+I44+L44+O44</f>
        <v>350</v>
      </c>
      <c r="H44" s="31">
        <v>87.5</v>
      </c>
      <c r="I44" s="120">
        <v>87.5</v>
      </c>
      <c r="J44" s="122"/>
      <c r="K44" s="123"/>
      <c r="L44" s="120">
        <v>87.5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>H45+I45+L45+O45</f>
        <v>350</v>
      </c>
      <c r="H45" s="32">
        <v>87.5</v>
      </c>
      <c r="I45" s="130">
        <v>87.5</v>
      </c>
      <c r="J45" s="131"/>
      <c r="K45" s="132"/>
      <c r="L45" s="130">
        <v>87.5</v>
      </c>
      <c r="M45" s="131"/>
      <c r="N45" s="132"/>
      <c r="O45" s="130">
        <v>87.5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v>40</v>
      </c>
      <c r="H46" s="32">
        <v>10</v>
      </c>
      <c r="I46" s="130">
        <v>10</v>
      </c>
      <c r="J46" s="131"/>
      <c r="K46" s="132"/>
      <c r="L46" s="130">
        <v>10</v>
      </c>
      <c r="M46" s="131"/>
      <c r="N46" s="132"/>
      <c r="O46" s="130">
        <v>10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35260.071400000001</v>
      </c>
      <c r="H48" s="31">
        <f>H50+H56+H58+H66+H69+H61+H60+H57+H59</f>
        <v>9326.4572000000007</v>
      </c>
      <c r="I48" s="120">
        <f>I50+I56+I58+I66+I69+I60+I61+I74+I59+I68+I57</f>
        <v>9128.0861999999997</v>
      </c>
      <c r="J48" s="122"/>
      <c r="K48" s="123"/>
      <c r="L48" s="120">
        <f>L50+L56+L58+L61+L66+L69+L60+L57</f>
        <v>8688.26</v>
      </c>
      <c r="M48" s="122"/>
      <c r="N48" s="123"/>
      <c r="O48" s="120">
        <f>O50+O56+O58+O61+O66+O69+O60+O57</f>
        <v>8117.268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2421.529</v>
      </c>
      <c r="H50" s="31">
        <f>H51+H54+H55+H52+H53</f>
        <v>1258.5</v>
      </c>
      <c r="I50" s="120">
        <f>I51+I54+I55+I52+I53</f>
        <v>603.029</v>
      </c>
      <c r="J50" s="122"/>
      <c r="K50" s="123"/>
      <c r="L50" s="120">
        <f>L51+L52+L53+L54</f>
        <v>260</v>
      </c>
      <c r="M50" s="88"/>
      <c r="N50" s="87"/>
      <c r="O50" s="86">
        <f>O51+O52+O53+O54</f>
        <v>300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1025</v>
      </c>
      <c r="H51" s="22">
        <f>H52+60+150</f>
        <v>330</v>
      </c>
      <c r="I51" s="86">
        <f>I52+60+150</f>
        <v>285</v>
      </c>
      <c r="J51" s="88"/>
      <c r="K51" s="87"/>
      <c r="L51" s="86">
        <f>L52+60+150</f>
        <v>210</v>
      </c>
      <c r="M51" s="88"/>
      <c r="N51" s="87"/>
      <c r="O51" s="86">
        <f>O52+200</f>
        <v>200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195</v>
      </c>
      <c r="H52" s="11">
        <v>120</v>
      </c>
      <c r="I52" s="144">
        <v>75</v>
      </c>
      <c r="J52" s="145"/>
      <c r="K52" s="146"/>
      <c r="L52" s="144">
        <v>0</v>
      </c>
      <c r="M52" s="145"/>
      <c r="N52" s="146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200</v>
      </c>
      <c r="H53" s="2">
        <v>50</v>
      </c>
      <c r="I53" s="147">
        <v>0</v>
      </c>
      <c r="J53" s="148"/>
      <c r="K53" s="149"/>
      <c r="L53" s="147">
        <v>50</v>
      </c>
      <c r="M53" s="148"/>
      <c r="N53" s="149"/>
      <c r="O53" s="147">
        <v>100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18450</v>
      </c>
      <c r="H56" s="31">
        <f>4050+500</f>
        <v>4550</v>
      </c>
      <c r="I56" s="86">
        <v>4550</v>
      </c>
      <c r="J56" s="88"/>
      <c r="K56" s="87"/>
      <c r="L56" s="86">
        <v>4750</v>
      </c>
      <c r="M56" s="88"/>
      <c r="N56" s="87"/>
      <c r="O56" s="86">
        <v>4600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4362.34</v>
      </c>
      <c r="H57" s="11">
        <v>757.26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4059</v>
      </c>
      <c r="H58" s="31">
        <f>H56*22%</f>
        <v>1001</v>
      </c>
      <c r="I58" s="120">
        <f t="shared" ref="I58:L58" si="0">I56*22%</f>
        <v>1001</v>
      </c>
      <c r="J58" s="122"/>
      <c r="K58" s="123"/>
      <c r="L58" s="120">
        <f t="shared" si="0"/>
        <v>1045</v>
      </c>
      <c r="M58" s="122"/>
      <c r="N58" s="123"/>
      <c r="O58" s="120">
        <f t="shared" ref="O58:O59" si="1">O56*22%</f>
        <v>1012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959.71479999999997</v>
      </c>
      <c r="H59" s="51">
        <f>H57*22%</f>
        <v>166.59719999999999</v>
      </c>
      <c r="I59" s="150">
        <f>I57*22%</f>
        <v>311.79719999999998</v>
      </c>
      <c r="J59" s="151"/>
      <c r="K59" s="152"/>
      <c r="L59" s="150">
        <f t="shared" ref="L59" si="2">L57*22%</f>
        <v>314.72319999999996</v>
      </c>
      <c r="M59" s="151"/>
      <c r="N59" s="152"/>
      <c r="O59" s="150">
        <f t="shared" si="1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1200</v>
      </c>
      <c r="H60" s="32">
        <v>300</v>
      </c>
      <c r="I60" s="130">
        <v>300</v>
      </c>
      <c r="J60" s="131"/>
      <c r="K60" s="132"/>
      <c r="L60" s="130">
        <v>300</v>
      </c>
      <c r="M60" s="131"/>
      <c r="N60" s="132"/>
      <c r="O60" s="130">
        <v>300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1199.25</v>
      </c>
      <c r="H61" s="22">
        <f>H62+H63+H64+H65</f>
        <v>501.1</v>
      </c>
      <c r="I61" s="86">
        <f>I62+I63+I64+I65</f>
        <v>159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592.20000000000005</v>
      </c>
      <c r="H63" s="2">
        <v>210</v>
      </c>
      <c r="I63" s="147">
        <v>135</v>
      </c>
      <c r="J63" s="148"/>
      <c r="K63" s="149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39.1</v>
      </c>
      <c r="H65" s="2">
        <v>14.6</v>
      </c>
      <c r="I65" s="147">
        <v>7.5</v>
      </c>
      <c r="J65" s="148"/>
      <c r="K65" s="149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1720.19</v>
      </c>
      <c r="H66" s="22">
        <f>H67+60+200</f>
        <v>432</v>
      </c>
      <c r="I66" s="86">
        <f>I67+35+250</f>
        <v>426</v>
      </c>
      <c r="J66" s="88"/>
      <c r="K66" s="87"/>
      <c r="L66" s="86">
        <f>L67+30+200</f>
        <v>396</v>
      </c>
      <c r="M66" s="88"/>
      <c r="N66" s="87"/>
      <c r="O66" s="86">
        <f>O67+30+250+42.29</f>
        <v>466.19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622.9</v>
      </c>
      <c r="H67" s="11">
        <v>172</v>
      </c>
      <c r="I67" s="144">
        <v>141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49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1369.3679999999999</v>
      </c>
      <c r="H69" s="22">
        <v>360</v>
      </c>
      <c r="I69" s="86">
        <v>360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5018.7147999999997</v>
      </c>
      <c r="H71" s="31">
        <f>H58+H59</f>
        <v>1167.5971999999999</v>
      </c>
      <c r="I71" s="120">
        <f>I58+I59</f>
        <v>1312.7972</v>
      </c>
      <c r="J71" s="122"/>
      <c r="K71" s="123"/>
      <c r="L71" s="120">
        <f>L58+L59</f>
        <v>1359.7231999999999</v>
      </c>
      <c r="M71" s="122"/>
      <c r="N71" s="123"/>
      <c r="O71" s="120">
        <f>O58+O59</f>
        <v>1178.5971999999999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4743.6396000000004</v>
      </c>
      <c r="H72" s="31">
        <f>(H56+H57)*23%</f>
        <v>1220.6698000000001</v>
      </c>
      <c r="I72" s="120">
        <f>(I56+I57)*23%</f>
        <v>1372.4698000000001</v>
      </c>
      <c r="J72" s="122"/>
      <c r="K72" s="123"/>
      <c r="L72" s="120">
        <f>L56*23%</f>
        <v>1092.5</v>
      </c>
      <c r="M72" s="122"/>
      <c r="N72" s="123"/>
      <c r="O72" s="120">
        <f>O56*23%</f>
        <v>1058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0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0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0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0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35260.07</v>
      </c>
      <c r="H83" s="31">
        <f>H41</f>
        <v>9222.9</v>
      </c>
      <c r="I83" s="86">
        <f>I41</f>
        <v>9094.6</v>
      </c>
      <c r="J83" s="88"/>
      <c r="K83" s="87"/>
      <c r="L83" s="86">
        <f>L41</f>
        <v>8805.48</v>
      </c>
      <c r="M83" s="88"/>
      <c r="N83" s="87"/>
      <c r="O83" s="86">
        <f>O41</f>
        <v>8137.1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35260.071400000001</v>
      </c>
      <c r="H84" s="31">
        <f>H48+H74</f>
        <v>9326.4572000000007</v>
      </c>
      <c r="I84" s="120">
        <f>I48</f>
        <v>9128.0861999999997</v>
      </c>
      <c r="J84" s="122"/>
      <c r="K84" s="123"/>
      <c r="L84" s="120">
        <f>L48+L74</f>
        <v>8688.26</v>
      </c>
      <c r="M84" s="122"/>
      <c r="N84" s="123"/>
      <c r="O84" s="120">
        <f>O48+O74</f>
        <v>8117.268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-1.4000000010128133E-3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37284.230000000003</v>
      </c>
      <c r="F93" s="33">
        <f>F94+F95+F96+F97+F98+F99</f>
        <v>14471.89</v>
      </c>
      <c r="G93" s="31">
        <f>H93+I93+L93+O93</f>
        <v>22812.340000000004</v>
      </c>
      <c r="H93" s="31">
        <f>H56+H57</f>
        <v>5307.26</v>
      </c>
      <c r="I93" s="173">
        <f>I56+I57</f>
        <v>5967.26</v>
      </c>
      <c r="J93" s="174"/>
      <c r="K93" s="175"/>
      <c r="L93" s="173">
        <f>L56+L57</f>
        <v>6180.5599999999995</v>
      </c>
      <c r="M93" s="174"/>
      <c r="N93" s="175"/>
      <c r="O93" s="86">
        <f>O56+O57</f>
        <v>5357.26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2098</v>
      </c>
      <c r="F94" s="34">
        <v>820</v>
      </c>
      <c r="G94" s="32">
        <f>H94+I94+L94+O94</f>
        <v>1278</v>
      </c>
      <c r="H94" s="32">
        <v>285</v>
      </c>
      <c r="I94" s="130">
        <f>285+26.5</f>
        <v>311.5</v>
      </c>
      <c r="J94" s="132"/>
      <c r="K94" s="32">
        <v>285</v>
      </c>
      <c r="L94" s="179">
        <f>320+26.5</f>
        <v>346.5</v>
      </c>
      <c r="M94" s="180"/>
      <c r="N94" s="181"/>
      <c r="O94" s="130">
        <f>285+50</f>
        <v>335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13410.5</v>
      </c>
      <c r="F95" s="34">
        <v>4288</v>
      </c>
      <c r="G95" s="32">
        <f t="shared" si="7"/>
        <v>9122.5</v>
      </c>
      <c r="H95" s="2">
        <v>2141.5</v>
      </c>
      <c r="I95" s="147">
        <f>2141.5+248</f>
        <v>2389.5</v>
      </c>
      <c r="J95" s="149"/>
      <c r="K95" s="2">
        <v>2141.5</v>
      </c>
      <c r="L95" s="176">
        <v>2450</v>
      </c>
      <c r="M95" s="177"/>
      <c r="N95" s="178"/>
      <c r="O95" s="147">
        <v>2141.5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8333.48</v>
      </c>
      <c r="F96" s="34">
        <v>4150</v>
      </c>
      <c r="G96" s="32">
        <f t="shared" si="7"/>
        <v>4183.4799999999996</v>
      </c>
      <c r="H96" s="2">
        <v>970.16</v>
      </c>
      <c r="I96" s="147">
        <f>970.16+123</f>
        <v>1093.1599999999999</v>
      </c>
      <c r="J96" s="149"/>
      <c r="K96" s="2">
        <v>970.16</v>
      </c>
      <c r="L96" s="176">
        <v>1150</v>
      </c>
      <c r="M96" s="177"/>
      <c r="N96" s="178"/>
      <c r="O96" s="147">
        <v>970.16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10525.189999999999</v>
      </c>
      <c r="F97" s="34">
        <v>3723.09</v>
      </c>
      <c r="G97" s="32">
        <f t="shared" si="7"/>
        <v>6802.0999999999995</v>
      </c>
      <c r="H97" s="2">
        <v>1563.2</v>
      </c>
      <c r="I97" s="147">
        <f>1563.2+262.5</f>
        <v>1825.7</v>
      </c>
      <c r="J97" s="149"/>
      <c r="K97" s="2">
        <v>1563.2</v>
      </c>
      <c r="L97" s="176">
        <v>1850</v>
      </c>
      <c r="M97" s="177"/>
      <c r="N97" s="178"/>
      <c r="O97" s="147">
        <v>1563.2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1485.1599999999999</v>
      </c>
      <c r="F98" s="34">
        <v>758.8</v>
      </c>
      <c r="G98" s="32">
        <f t="shared" si="7"/>
        <v>726.3599999999999</v>
      </c>
      <c r="H98" s="2">
        <v>173.7</v>
      </c>
      <c r="I98" s="147">
        <v>173.7</v>
      </c>
      <c r="J98" s="149"/>
      <c r="K98" s="2">
        <v>173.7</v>
      </c>
      <c r="L98" s="176">
        <f>163.8+15+26.46</f>
        <v>205.26000000000002</v>
      </c>
      <c r="M98" s="177"/>
      <c r="N98" s="178"/>
      <c r="O98" s="147">
        <v>173.7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1431.9</v>
      </c>
      <c r="F99" s="34">
        <v>732</v>
      </c>
      <c r="G99" s="32">
        <f t="shared" si="7"/>
        <v>699.90000000000009</v>
      </c>
      <c r="H99" s="2">
        <v>173.7</v>
      </c>
      <c r="I99" s="147">
        <v>173.7</v>
      </c>
      <c r="J99" s="149"/>
      <c r="K99" s="2">
        <v>173.7</v>
      </c>
      <c r="L99" s="147">
        <v>178.8</v>
      </c>
      <c r="M99" s="148"/>
      <c r="N99" s="149"/>
      <c r="O99" s="147">
        <v>173.7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25" t="s">
        <v>83</v>
      </c>
      <c r="D101" s="26"/>
      <c r="E101" s="26"/>
      <c r="F101" s="26"/>
      <c r="G101" s="26"/>
      <c r="H101" s="26"/>
      <c r="I101" s="192" t="s">
        <v>84</v>
      </c>
      <c r="J101" s="192"/>
      <c r="K101" s="192"/>
      <c r="L101" s="192"/>
      <c r="M101" s="192"/>
      <c r="N101" s="190"/>
      <c r="O101" s="190"/>
      <c r="P101" s="190"/>
      <c r="Q101" s="190"/>
      <c r="R101" s="190"/>
      <c r="S101" s="190"/>
      <c r="T101" s="190"/>
      <c r="U101" s="190"/>
      <c r="V101" s="190"/>
      <c r="W101" s="191"/>
      <c r="X101" s="191"/>
    </row>
    <row r="102" spans="1:24" ht="18.75" x14ac:dyDescent="0.3">
      <c r="C102" s="26"/>
      <c r="D102" s="26"/>
      <c r="E102" s="26"/>
      <c r="F102" s="26"/>
      <c r="G102" s="26"/>
      <c r="H102" s="53"/>
      <c r="I102" s="193"/>
      <c r="J102" s="190"/>
      <c r="K102" s="190"/>
      <c r="L102" s="193"/>
      <c r="M102" s="190"/>
      <c r="N102" s="190"/>
      <c r="O102" s="193"/>
      <c r="P102" s="190"/>
      <c r="Q102" s="190"/>
      <c r="R102" s="190"/>
      <c r="S102" s="190"/>
      <c r="T102" s="190"/>
      <c r="U102" s="190"/>
      <c r="V102" s="190"/>
      <c r="W102" s="190"/>
      <c r="X102" s="27"/>
    </row>
    <row r="103" spans="1:24" ht="18.75" x14ac:dyDescent="0.3">
      <c r="C103" s="25" t="s">
        <v>85</v>
      </c>
      <c r="D103" s="26"/>
      <c r="E103" s="26"/>
      <c r="F103" s="26"/>
      <c r="G103" s="26"/>
      <c r="H103" s="26"/>
      <c r="I103" s="192" t="s">
        <v>86</v>
      </c>
      <c r="J103" s="192"/>
      <c r="K103" s="192"/>
      <c r="L103" s="192"/>
      <c r="M103" s="192"/>
      <c r="N103" s="190"/>
      <c r="O103" s="190"/>
      <c r="P103" s="190"/>
      <c r="Q103" s="190"/>
      <c r="R103" s="190"/>
      <c r="S103" s="190"/>
      <c r="T103" s="190"/>
      <c r="U103" s="190"/>
      <c r="V103" s="190"/>
      <c r="W103" s="191"/>
      <c r="X103" s="191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</row>
    <row r="106" spans="1:24" x14ac:dyDescent="0.25">
      <c r="H106" s="52"/>
      <c r="I106" s="188"/>
      <c r="J106" s="189"/>
      <c r="L106" s="188"/>
      <c r="M106" s="189"/>
      <c r="P106" s="188"/>
      <c r="Q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C6:C7"/>
    <mergeCell ref="L15:N15"/>
    <mergeCell ref="O15:Q15"/>
    <mergeCell ref="R15:T15"/>
    <mergeCell ref="L16:N16"/>
    <mergeCell ref="O16:Q16"/>
    <mergeCell ref="R16:T16"/>
    <mergeCell ref="I106:J106"/>
    <mergeCell ref="L106:M106"/>
    <mergeCell ref="P106:Q106"/>
    <mergeCell ref="O17:Q17"/>
    <mergeCell ref="R17:T17"/>
    <mergeCell ref="H20:K20"/>
    <mergeCell ref="L20:N20"/>
    <mergeCell ref="O20:Q20"/>
    <mergeCell ref="R20:T20"/>
    <mergeCell ref="B26:C26"/>
    <mergeCell ref="D26:I26"/>
    <mergeCell ref="J26:L26"/>
    <mergeCell ref="M26:O26"/>
    <mergeCell ref="P26:R26"/>
    <mergeCell ref="S26:U26"/>
    <mergeCell ref="I31:K31"/>
    <mergeCell ref="L31:N31"/>
    <mergeCell ref="I109:J109"/>
    <mergeCell ref="I108:J108"/>
    <mergeCell ref="L108:M108"/>
    <mergeCell ref="P108:Q108"/>
    <mergeCell ref="I94:J94"/>
    <mergeCell ref="I95:J95"/>
    <mergeCell ref="I96:J96"/>
    <mergeCell ref="I97:J97"/>
    <mergeCell ref="I98:J98"/>
    <mergeCell ref="I99:J99"/>
    <mergeCell ref="L100:M100"/>
    <mergeCell ref="O100:Q100"/>
    <mergeCell ref="I103:M103"/>
    <mergeCell ref="N103:P103"/>
    <mergeCell ref="Q103:S103"/>
    <mergeCell ref="U17:W17"/>
    <mergeCell ref="L18:N18"/>
    <mergeCell ref="O18:Q18"/>
    <mergeCell ref="R18:T18"/>
    <mergeCell ref="U18:W18"/>
    <mergeCell ref="D5:D10"/>
    <mergeCell ref="E7:H7"/>
    <mergeCell ref="L17:N17"/>
    <mergeCell ref="L19:N19"/>
    <mergeCell ref="O19:Q19"/>
    <mergeCell ref="R19:T19"/>
    <mergeCell ref="U19:W19"/>
    <mergeCell ref="U20:W20"/>
    <mergeCell ref="S23:U23"/>
    <mergeCell ref="V23:X23"/>
    <mergeCell ref="P24:R24"/>
    <mergeCell ref="S24:U24"/>
    <mergeCell ref="V24:X24"/>
    <mergeCell ref="B25:C25"/>
    <mergeCell ref="D25:I25"/>
    <mergeCell ref="J25:L25"/>
    <mergeCell ref="M25:O25"/>
    <mergeCell ref="P25:R25"/>
    <mergeCell ref="B21:C24"/>
    <mergeCell ref="D21:I24"/>
    <mergeCell ref="J21:O24"/>
    <mergeCell ref="P21:R21"/>
    <mergeCell ref="S21:U21"/>
    <mergeCell ref="V21:X21"/>
    <mergeCell ref="P22:R22"/>
    <mergeCell ref="S22:U22"/>
    <mergeCell ref="V22:X22"/>
    <mergeCell ref="P23:R23"/>
    <mergeCell ref="S25:U25"/>
    <mergeCell ref="V25:X25"/>
    <mergeCell ref="V26:X26"/>
    <mergeCell ref="V27:X27"/>
    <mergeCell ref="B28:C28"/>
    <mergeCell ref="D28:I28"/>
    <mergeCell ref="J28:L28"/>
    <mergeCell ref="M28:O28"/>
    <mergeCell ref="P28:R28"/>
    <mergeCell ref="S28:U28"/>
    <mergeCell ref="V28:X28"/>
    <mergeCell ref="B27:C27"/>
    <mergeCell ref="D27:I27"/>
    <mergeCell ref="J27:L27"/>
    <mergeCell ref="M27:O27"/>
    <mergeCell ref="P27:R27"/>
    <mergeCell ref="S27:U27"/>
    <mergeCell ref="V29:X29"/>
    <mergeCell ref="B30:C30"/>
    <mergeCell ref="D30:I30"/>
    <mergeCell ref="J30:L30"/>
    <mergeCell ref="M30:O30"/>
    <mergeCell ref="P30:R30"/>
    <mergeCell ref="S30:U30"/>
    <mergeCell ref="V30:X30"/>
    <mergeCell ref="B29:C29"/>
    <mergeCell ref="D29:I29"/>
    <mergeCell ref="J29:L29"/>
    <mergeCell ref="M29:O29"/>
    <mergeCell ref="P29:R29"/>
    <mergeCell ref="S29:U29"/>
    <mergeCell ref="O31:Q31"/>
    <mergeCell ref="R31:T31"/>
    <mergeCell ref="U31:W31"/>
    <mergeCell ref="D32:I32"/>
    <mergeCell ref="J32:L32"/>
    <mergeCell ref="M32:O32"/>
    <mergeCell ref="P32:R32"/>
    <mergeCell ref="S32:U32"/>
    <mergeCell ref="V32:X32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7:C87"/>
    <mergeCell ref="I87:K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L87:M87"/>
    <mergeCell ref="B89:C89"/>
    <mergeCell ref="I89:K89"/>
    <mergeCell ref="O89:Q89"/>
    <mergeCell ref="R89:T89"/>
    <mergeCell ref="U89:W89"/>
    <mergeCell ref="B88:C88"/>
    <mergeCell ref="I88:K88"/>
    <mergeCell ref="O88:Q88"/>
    <mergeCell ref="R88:T88"/>
    <mergeCell ref="U88:W88"/>
    <mergeCell ref="L88:M88"/>
    <mergeCell ref="L89:M89"/>
    <mergeCell ref="B91:C91"/>
    <mergeCell ref="I91:K91"/>
    <mergeCell ref="O91:Q91"/>
    <mergeCell ref="R91:T91"/>
    <mergeCell ref="U91:W91"/>
    <mergeCell ref="B90:C90"/>
    <mergeCell ref="I90:K90"/>
    <mergeCell ref="O90:Q90"/>
    <mergeCell ref="R90:T90"/>
    <mergeCell ref="U90:W90"/>
    <mergeCell ref="L90:M90"/>
    <mergeCell ref="L91:M91"/>
    <mergeCell ref="B93:C93"/>
    <mergeCell ref="I93:K93"/>
    <mergeCell ref="L93:N93"/>
    <mergeCell ref="O93:Q93"/>
    <mergeCell ref="R93:T93"/>
    <mergeCell ref="U93:W93"/>
    <mergeCell ref="B92:C92"/>
    <mergeCell ref="I92:K92"/>
    <mergeCell ref="O92:Q92"/>
    <mergeCell ref="R92:T92"/>
    <mergeCell ref="U92:W92"/>
    <mergeCell ref="L92:M92"/>
    <mergeCell ref="B95:C95"/>
    <mergeCell ref="L95:N95"/>
    <mergeCell ref="O95:Q95"/>
    <mergeCell ref="R95:T95"/>
    <mergeCell ref="U95:W95"/>
    <mergeCell ref="B94:C94"/>
    <mergeCell ref="L94:N94"/>
    <mergeCell ref="O94:Q94"/>
    <mergeCell ref="R94:T94"/>
    <mergeCell ref="U94:W94"/>
    <mergeCell ref="B97:C97"/>
    <mergeCell ref="L97:N97"/>
    <mergeCell ref="O97:Q97"/>
    <mergeCell ref="R97:T97"/>
    <mergeCell ref="U97:W97"/>
    <mergeCell ref="B96:C96"/>
    <mergeCell ref="L96:N96"/>
    <mergeCell ref="O96:Q96"/>
    <mergeCell ref="R96:T96"/>
    <mergeCell ref="U96:W96"/>
    <mergeCell ref="B99:C99"/>
    <mergeCell ref="L99:N99"/>
    <mergeCell ref="O99:Q99"/>
    <mergeCell ref="R99:T99"/>
    <mergeCell ref="U99:W99"/>
    <mergeCell ref="B98:C98"/>
    <mergeCell ref="L98:N98"/>
    <mergeCell ref="O98:Q98"/>
    <mergeCell ref="R98:T98"/>
    <mergeCell ref="U98:W98"/>
    <mergeCell ref="T103:V103"/>
    <mergeCell ref="W103:X103"/>
    <mergeCell ref="R100:T100"/>
    <mergeCell ref="U100:W100"/>
    <mergeCell ref="I101:M101"/>
    <mergeCell ref="N101:P101"/>
    <mergeCell ref="Q101:S101"/>
    <mergeCell ref="T101:V101"/>
    <mergeCell ref="W101:X101"/>
    <mergeCell ref="I100:K100"/>
    <mergeCell ref="I102:K102"/>
    <mergeCell ref="L102:N102"/>
    <mergeCell ref="O102:Q102"/>
    <mergeCell ref="R102:T102"/>
    <mergeCell ref="U102:W10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FE6A-4AAD-4911-96FE-F71E513FBA9A}">
  <dimension ref="A2:Y109"/>
  <sheetViews>
    <sheetView topLeftCell="A71" workbookViewId="0">
      <selection activeCell="R81" sqref="R81:T81"/>
    </sheetView>
  </sheetViews>
  <sheetFormatPr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127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59" t="s">
        <v>117</v>
      </c>
      <c r="F8" s="60"/>
      <c r="G8" s="60"/>
      <c r="H8" s="60"/>
      <c r="I8" s="61"/>
      <c r="J8" s="61"/>
      <c r="K8" s="61"/>
      <c r="L8" s="61"/>
      <c r="M8" s="61"/>
      <c r="N8" s="61"/>
      <c r="O8" s="61"/>
      <c r="P8" s="61"/>
    </row>
    <row r="9" spans="3:20" x14ac:dyDescent="0.25">
      <c r="C9" s="42" t="s">
        <v>118</v>
      </c>
      <c r="D9" s="63"/>
      <c r="E9" s="28" t="s">
        <v>128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 t="shared" ref="G41:G46" si="0">H41+I41+L41+O41</f>
        <v>29044.861999999997</v>
      </c>
      <c r="H41" s="31">
        <f>H42+H43+H44</f>
        <v>8162.8819999999996</v>
      </c>
      <c r="I41" s="120">
        <f>I42+I43+I44</f>
        <v>8273.9</v>
      </c>
      <c r="J41" s="88"/>
      <c r="K41" s="87"/>
      <c r="L41" s="120">
        <f>L42+L43+L44</f>
        <v>7454.7800000000007</v>
      </c>
      <c r="M41" s="88"/>
      <c r="N41" s="87"/>
      <c r="O41" s="120">
        <f>O42+O43+O44</f>
        <v>5153.3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31">
        <f t="shared" si="0"/>
        <v>18036.600000000002</v>
      </c>
      <c r="H42" s="31">
        <f>4906.8</f>
        <v>4906.8</v>
      </c>
      <c r="I42" s="86">
        <v>4906.8</v>
      </c>
      <c r="J42" s="88"/>
      <c r="K42" s="87"/>
      <c r="L42" s="86">
        <v>4906.8</v>
      </c>
      <c r="M42" s="88"/>
      <c r="N42" s="87"/>
      <c r="O42" s="86">
        <f>3146.4+169.8</f>
        <v>3316.2000000000003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 t="shared" si="0"/>
        <v>10530.762000000001</v>
      </c>
      <c r="H43" s="31">
        <f>2835.4+150+140.682</f>
        <v>3126.0819999999999</v>
      </c>
      <c r="I43" s="120">
        <f>2707.1+330+200</f>
        <v>3237.1</v>
      </c>
      <c r="J43" s="122"/>
      <c r="K43" s="123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 t="shared" si="0"/>
        <v>477.5</v>
      </c>
      <c r="H44" s="31">
        <f>H45+H46</f>
        <v>130</v>
      </c>
      <c r="I44" s="120">
        <f>I45+I46</f>
        <v>130</v>
      </c>
      <c r="J44" s="122"/>
      <c r="K44" s="123"/>
      <c r="L44" s="120">
        <f>L45+L46</f>
        <v>130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 t="shared" si="0"/>
        <v>400</v>
      </c>
      <c r="H45" s="32">
        <v>100</v>
      </c>
      <c r="I45" s="130">
        <v>100</v>
      </c>
      <c r="J45" s="131"/>
      <c r="K45" s="132"/>
      <c r="L45" s="130">
        <v>100</v>
      </c>
      <c r="M45" s="131"/>
      <c r="N45" s="132"/>
      <c r="O45" s="130">
        <v>100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f t="shared" si="0"/>
        <v>120</v>
      </c>
      <c r="H46" s="32">
        <v>30</v>
      </c>
      <c r="I46" s="130">
        <v>30</v>
      </c>
      <c r="J46" s="131"/>
      <c r="K46" s="132"/>
      <c r="L46" s="130">
        <v>30</v>
      </c>
      <c r="M46" s="131"/>
      <c r="N46" s="132"/>
      <c r="O46" s="130">
        <v>30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29044.8514</v>
      </c>
      <c r="H48" s="31">
        <f>H50+H56+H58+H66+H69+H61+H60+H57+H59</f>
        <v>8165.0572000000002</v>
      </c>
      <c r="I48" s="120">
        <f>I50+I56+I58+I66+I69+I60+I61+I74+I59+I68+I57</f>
        <v>8163.0862000000006</v>
      </c>
      <c r="J48" s="122"/>
      <c r="K48" s="123"/>
      <c r="L48" s="120">
        <f>L50+L56+L58+L61+L66+L69+L60+L57</f>
        <v>6974.73</v>
      </c>
      <c r="M48" s="122"/>
      <c r="N48" s="123"/>
      <c r="O48" s="120">
        <f>O50+O56+O58+O61+O66+O69+O60+O57</f>
        <v>5741.9780000000001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1696.529</v>
      </c>
      <c r="H50" s="31">
        <f>H51+H54+H55+H52+H53</f>
        <v>1083.5</v>
      </c>
      <c r="I50" s="120">
        <f>I51+I54+I55+I52+I53</f>
        <v>453.029</v>
      </c>
      <c r="J50" s="122"/>
      <c r="K50" s="123"/>
      <c r="L50" s="120">
        <f>L51+L52+L53+L54</f>
        <v>85</v>
      </c>
      <c r="M50" s="88"/>
      <c r="N50" s="87"/>
      <c r="O50" s="86">
        <f>O51+O52+O53+O54</f>
        <v>75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425</v>
      </c>
      <c r="H51" s="22">
        <f>H52+60</f>
        <v>180</v>
      </c>
      <c r="I51" s="86">
        <f>I52+60</f>
        <v>135</v>
      </c>
      <c r="J51" s="88"/>
      <c r="K51" s="87"/>
      <c r="L51" s="86">
        <f>L52+60</f>
        <v>60</v>
      </c>
      <c r="M51" s="88"/>
      <c r="N51" s="87"/>
      <c r="O51" s="86">
        <f>O52+50</f>
        <v>50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195</v>
      </c>
      <c r="H52" s="11">
        <v>120</v>
      </c>
      <c r="I52" s="144">
        <v>75</v>
      </c>
      <c r="J52" s="145"/>
      <c r="K52" s="146"/>
      <c r="L52" s="144">
        <v>0</v>
      </c>
      <c r="M52" s="145"/>
      <c r="N52" s="146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75</v>
      </c>
      <c r="H53" s="2">
        <v>25</v>
      </c>
      <c r="I53" s="147">
        <v>0</v>
      </c>
      <c r="J53" s="148"/>
      <c r="K53" s="149"/>
      <c r="L53" s="147">
        <v>25</v>
      </c>
      <c r="M53" s="148"/>
      <c r="N53" s="149"/>
      <c r="O53" s="147">
        <v>25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14600</v>
      </c>
      <c r="H56" s="31">
        <v>3800</v>
      </c>
      <c r="I56" s="86">
        <v>3800</v>
      </c>
      <c r="J56" s="88"/>
      <c r="K56" s="87"/>
      <c r="L56" s="86">
        <v>3800</v>
      </c>
      <c r="M56" s="88"/>
      <c r="N56" s="87"/>
      <c r="O56" s="86">
        <v>3200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4492.34</v>
      </c>
      <c r="H57" s="11">
        <f>757.26+130</f>
        <v>887.26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3212</v>
      </c>
      <c r="H58" s="31">
        <f>H56*22%</f>
        <v>836</v>
      </c>
      <c r="I58" s="120">
        <f t="shared" ref="I58:L59" si="1">I56*22%</f>
        <v>836</v>
      </c>
      <c r="J58" s="122"/>
      <c r="K58" s="123"/>
      <c r="L58" s="120">
        <f t="shared" si="1"/>
        <v>836</v>
      </c>
      <c r="M58" s="122"/>
      <c r="N58" s="123"/>
      <c r="O58" s="120">
        <f t="shared" ref="O58:O59" si="2">O56*22%</f>
        <v>704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988.31479999999988</v>
      </c>
      <c r="H59" s="51">
        <f>H57*22%</f>
        <v>195.19720000000001</v>
      </c>
      <c r="I59" s="150">
        <f>I57*22%</f>
        <v>311.79719999999998</v>
      </c>
      <c r="J59" s="151"/>
      <c r="K59" s="152"/>
      <c r="L59" s="150">
        <f t="shared" si="1"/>
        <v>314.72319999999996</v>
      </c>
      <c r="M59" s="151"/>
      <c r="N59" s="152"/>
      <c r="O59" s="150">
        <f t="shared" si="2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510.47</v>
      </c>
      <c r="H60" s="32">
        <v>120</v>
      </c>
      <c r="I60" s="130">
        <v>120</v>
      </c>
      <c r="J60" s="131"/>
      <c r="K60" s="132"/>
      <c r="L60" s="130">
        <f>150-29.53</f>
        <v>120.47</v>
      </c>
      <c r="M60" s="131"/>
      <c r="N60" s="132"/>
      <c r="O60" s="130">
        <v>150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1199.25</v>
      </c>
      <c r="H61" s="22">
        <f>H62+H63+H64+H65</f>
        <v>501.1</v>
      </c>
      <c r="I61" s="86">
        <f>I62+I63+I64+I65</f>
        <v>159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592.20000000000005</v>
      </c>
      <c r="H63" s="2">
        <v>210</v>
      </c>
      <c r="I63" s="147">
        <v>135</v>
      </c>
      <c r="J63" s="148"/>
      <c r="K63" s="149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39.1</v>
      </c>
      <c r="H65" s="2">
        <v>14.6</v>
      </c>
      <c r="I65" s="147">
        <v>7.5</v>
      </c>
      <c r="J65" s="148"/>
      <c r="K65" s="149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977.9</v>
      </c>
      <c r="H66" s="22">
        <f>H67+60</f>
        <v>232</v>
      </c>
      <c r="I66" s="86">
        <f>I67+35</f>
        <v>376</v>
      </c>
      <c r="J66" s="88"/>
      <c r="K66" s="87"/>
      <c r="L66" s="86">
        <f>L67+30</f>
        <v>196</v>
      </c>
      <c r="M66" s="88"/>
      <c r="N66" s="87"/>
      <c r="O66" s="86">
        <f>O67+30</f>
        <v>173.9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822.9</v>
      </c>
      <c r="H67" s="11">
        <v>172</v>
      </c>
      <c r="I67" s="144">
        <f>141+200</f>
        <v>341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50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1849.3679999999999</v>
      </c>
      <c r="H69" s="22">
        <f>360+150</f>
        <v>510</v>
      </c>
      <c r="I69" s="86">
        <f>360+330</f>
        <v>690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4200.3148000000001</v>
      </c>
      <c r="H71" s="31">
        <f>H58+H59</f>
        <v>1031.1972000000001</v>
      </c>
      <c r="I71" s="120">
        <f>I58+I59</f>
        <v>1147.7972</v>
      </c>
      <c r="J71" s="122"/>
      <c r="K71" s="123"/>
      <c r="L71" s="120">
        <f>L58+L59</f>
        <v>1150.7231999999999</v>
      </c>
      <c r="M71" s="122"/>
      <c r="N71" s="123"/>
      <c r="O71" s="120">
        <f>O58+O59</f>
        <v>870.59719999999993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3888.0396000000001</v>
      </c>
      <c r="H72" s="31">
        <f>(H56+H57)*23%</f>
        <v>1078.0698</v>
      </c>
      <c r="I72" s="120">
        <f>(I56+I57)*23%</f>
        <v>1199.9698000000001</v>
      </c>
      <c r="J72" s="122"/>
      <c r="K72" s="123"/>
      <c r="L72" s="120">
        <f>L56*23%</f>
        <v>874</v>
      </c>
      <c r="M72" s="122"/>
      <c r="N72" s="123"/>
      <c r="O72" s="120">
        <f>O56*23%</f>
        <v>736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0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0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0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0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29044.851999999999</v>
      </c>
      <c r="H83" s="31">
        <f>H41</f>
        <v>8162.8819999999996</v>
      </c>
      <c r="I83" s="86">
        <f>I41</f>
        <v>8273.9</v>
      </c>
      <c r="J83" s="88"/>
      <c r="K83" s="87"/>
      <c r="L83" s="86">
        <f>L41</f>
        <v>7454.7800000000007</v>
      </c>
      <c r="M83" s="88"/>
      <c r="N83" s="87"/>
      <c r="O83" s="86">
        <f>O41</f>
        <v>5153.3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29044.8514</v>
      </c>
      <c r="H84" s="31">
        <f>H48+H74</f>
        <v>8165.0572000000002</v>
      </c>
      <c r="I84" s="120">
        <f>I48</f>
        <v>8163.0862000000006</v>
      </c>
      <c r="J84" s="122"/>
      <c r="K84" s="123"/>
      <c r="L84" s="120">
        <f>L48+L74</f>
        <v>6974.73</v>
      </c>
      <c r="M84" s="122"/>
      <c r="N84" s="123"/>
      <c r="O84" s="120">
        <f>O48+O74</f>
        <v>5741.9780000000001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5.9999999939464033E-4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33564.229999999996</v>
      </c>
      <c r="F93" s="33">
        <f>F94+F95+F96+F97+F98+F99</f>
        <v>14471.89</v>
      </c>
      <c r="G93" s="31">
        <f>H93+I93+L93+O93</f>
        <v>19092.34</v>
      </c>
      <c r="H93" s="31">
        <f>H56+H57</f>
        <v>4687.26</v>
      </c>
      <c r="I93" s="173">
        <f>I56+I57</f>
        <v>5217.26</v>
      </c>
      <c r="J93" s="174"/>
      <c r="K93" s="175"/>
      <c r="L93" s="173">
        <f>L56+L57</f>
        <v>5230.5599999999995</v>
      </c>
      <c r="M93" s="174"/>
      <c r="N93" s="175"/>
      <c r="O93" s="86">
        <f>O56+O57</f>
        <v>3957.26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2031.5</v>
      </c>
      <c r="F94" s="34">
        <v>820</v>
      </c>
      <c r="G94" s="32">
        <f>H94+I94+L94+O94</f>
        <v>1211.5</v>
      </c>
      <c r="H94" s="32">
        <v>285</v>
      </c>
      <c r="I94" s="130">
        <f>285+26.5</f>
        <v>311.5</v>
      </c>
      <c r="J94" s="132"/>
      <c r="K94" s="32">
        <v>285</v>
      </c>
      <c r="L94" s="179">
        <v>330</v>
      </c>
      <c r="M94" s="180"/>
      <c r="N94" s="181"/>
      <c r="O94" s="130">
        <v>285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11873.56</v>
      </c>
      <c r="F95" s="34">
        <v>4288</v>
      </c>
      <c r="G95" s="32">
        <f t="shared" si="7"/>
        <v>7585.5599999999995</v>
      </c>
      <c r="H95" s="2">
        <v>1800</v>
      </c>
      <c r="I95" s="147">
        <v>2100</v>
      </c>
      <c r="J95" s="149"/>
      <c r="K95" s="2">
        <v>2141.5</v>
      </c>
      <c r="L95" s="176">
        <f>2100-14.44</f>
        <v>2085.56</v>
      </c>
      <c r="M95" s="177"/>
      <c r="N95" s="178"/>
      <c r="O95" s="147">
        <v>1600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7850</v>
      </c>
      <c r="F96" s="34">
        <v>4150</v>
      </c>
      <c r="G96" s="32">
        <f t="shared" si="7"/>
        <v>3700</v>
      </c>
      <c r="H96" s="2">
        <v>850</v>
      </c>
      <c r="I96" s="147">
        <v>1050</v>
      </c>
      <c r="J96" s="149"/>
      <c r="K96" s="2">
        <v>970.16</v>
      </c>
      <c r="L96" s="176">
        <v>1050</v>
      </c>
      <c r="M96" s="177"/>
      <c r="N96" s="178"/>
      <c r="O96" s="147">
        <v>750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9008.57</v>
      </c>
      <c r="F97" s="34">
        <v>3723.09</v>
      </c>
      <c r="G97" s="32">
        <f t="shared" si="7"/>
        <v>5285.48</v>
      </c>
      <c r="H97" s="2">
        <v>1404.86</v>
      </c>
      <c r="I97" s="147">
        <v>1408.36</v>
      </c>
      <c r="J97" s="149"/>
      <c r="K97" s="2">
        <v>1563.2</v>
      </c>
      <c r="L97" s="176">
        <v>1450</v>
      </c>
      <c r="M97" s="177"/>
      <c r="N97" s="178"/>
      <c r="O97" s="147">
        <f>1250-227.74</f>
        <v>1022.26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1411.1999999999998</v>
      </c>
      <c r="F98" s="34">
        <v>758.8</v>
      </c>
      <c r="G98" s="32">
        <f t="shared" si="7"/>
        <v>652.4</v>
      </c>
      <c r="H98" s="2">
        <v>173.7</v>
      </c>
      <c r="I98" s="147">
        <v>173.7</v>
      </c>
      <c r="J98" s="149"/>
      <c r="K98" s="2">
        <v>173.7</v>
      </c>
      <c r="L98" s="176">
        <v>155</v>
      </c>
      <c r="M98" s="177"/>
      <c r="N98" s="178"/>
      <c r="O98" s="147">
        <v>150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1389.4</v>
      </c>
      <c r="F99" s="34">
        <v>732</v>
      </c>
      <c r="G99" s="32">
        <f t="shared" si="7"/>
        <v>657.4</v>
      </c>
      <c r="H99" s="2">
        <v>173.7</v>
      </c>
      <c r="I99" s="147">
        <v>173.7</v>
      </c>
      <c r="J99" s="149"/>
      <c r="K99" s="2">
        <v>173.7</v>
      </c>
      <c r="L99" s="147">
        <v>160</v>
      </c>
      <c r="M99" s="148"/>
      <c r="N99" s="149"/>
      <c r="O99" s="147">
        <v>150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55" t="s">
        <v>83</v>
      </c>
      <c r="D101" s="56"/>
      <c r="E101" s="56"/>
      <c r="F101" s="56"/>
      <c r="G101" s="56"/>
      <c r="H101" s="56"/>
      <c r="I101" s="187" t="s">
        <v>84</v>
      </c>
      <c r="J101" s="187"/>
      <c r="K101" s="187"/>
      <c r="L101" s="187"/>
      <c r="M101" s="187"/>
      <c r="N101" s="183"/>
      <c r="O101" s="183"/>
      <c r="P101" s="183"/>
      <c r="Q101" s="183"/>
      <c r="R101" s="183"/>
      <c r="S101" s="183"/>
      <c r="T101" s="183"/>
      <c r="U101" s="183"/>
      <c r="V101" s="183"/>
      <c r="W101" s="184"/>
      <c r="X101" s="184"/>
    </row>
    <row r="102" spans="1:24" ht="18.75" x14ac:dyDescent="0.3">
      <c r="C102" s="56"/>
      <c r="D102" s="56"/>
      <c r="E102" s="56"/>
      <c r="F102" s="56"/>
      <c r="G102" s="56"/>
      <c r="H102" s="58"/>
      <c r="I102" s="182"/>
      <c r="J102" s="183"/>
      <c r="K102" s="183"/>
      <c r="L102" s="182"/>
      <c r="M102" s="183"/>
      <c r="N102" s="183"/>
      <c r="O102" s="182"/>
      <c r="P102" s="183"/>
      <c r="Q102" s="183"/>
      <c r="R102" s="183"/>
      <c r="S102" s="183"/>
      <c r="T102" s="183"/>
      <c r="U102" s="183"/>
      <c r="V102" s="183"/>
      <c r="W102" s="183"/>
      <c r="X102" s="57"/>
    </row>
    <row r="103" spans="1:24" ht="18.75" x14ac:dyDescent="0.3">
      <c r="C103" s="55" t="s">
        <v>85</v>
      </c>
      <c r="D103" s="56"/>
      <c r="E103" s="56"/>
      <c r="F103" s="56"/>
      <c r="G103" s="56"/>
      <c r="H103" s="56"/>
      <c r="I103" s="55" t="s">
        <v>86</v>
      </c>
      <c r="J103" s="55"/>
      <c r="K103" s="55"/>
      <c r="L103" s="55"/>
      <c r="M103" s="55"/>
      <c r="N103" s="56"/>
      <c r="O103" s="56"/>
      <c r="P103" s="56"/>
      <c r="Q103" s="183"/>
      <c r="R103" s="183"/>
      <c r="S103" s="183"/>
      <c r="T103" s="183"/>
      <c r="U103" s="183"/>
      <c r="V103" s="183"/>
      <c r="W103" s="184"/>
      <c r="X103" s="184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  <c r="H105" s="52"/>
      <c r="I105" s="188"/>
      <c r="J105" s="189"/>
      <c r="L105" s="188"/>
      <c r="M105" s="189"/>
      <c r="O105" s="188"/>
      <c r="P105" s="189"/>
      <c r="Q105" s="189"/>
    </row>
    <row r="106" spans="1:24" x14ac:dyDescent="0.25">
      <c r="H106" s="52"/>
      <c r="I106" s="188"/>
      <c r="J106" s="189"/>
      <c r="L106" s="188"/>
      <c r="M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L16:N16"/>
    <mergeCell ref="O16:Q16"/>
    <mergeCell ref="R16:T16"/>
    <mergeCell ref="L17:N17"/>
    <mergeCell ref="O17:Q17"/>
    <mergeCell ref="R17:T17"/>
    <mergeCell ref="D5:D10"/>
    <mergeCell ref="C6:C7"/>
    <mergeCell ref="E7:H7"/>
    <mergeCell ref="L15:N15"/>
    <mergeCell ref="O15:Q15"/>
    <mergeCell ref="R15:T15"/>
    <mergeCell ref="U17:W17"/>
    <mergeCell ref="L18:N18"/>
    <mergeCell ref="O18:Q18"/>
    <mergeCell ref="R18:T18"/>
    <mergeCell ref="U18:W18"/>
    <mergeCell ref="L19:N19"/>
    <mergeCell ref="O19:Q19"/>
    <mergeCell ref="R19:T19"/>
    <mergeCell ref="U19:W19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7:C87"/>
    <mergeCell ref="I87:K87"/>
    <mergeCell ref="L87:M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9:C89"/>
    <mergeCell ref="I89:K89"/>
    <mergeCell ref="L89:M89"/>
    <mergeCell ref="O89:Q89"/>
    <mergeCell ref="R89:T89"/>
    <mergeCell ref="U89:W89"/>
    <mergeCell ref="B88:C88"/>
    <mergeCell ref="I88:K88"/>
    <mergeCell ref="L88:M88"/>
    <mergeCell ref="O88:Q88"/>
    <mergeCell ref="R88:T88"/>
    <mergeCell ref="U88:W88"/>
    <mergeCell ref="B91:C91"/>
    <mergeCell ref="I91:K91"/>
    <mergeCell ref="L91:M91"/>
    <mergeCell ref="O91:Q91"/>
    <mergeCell ref="R91:T91"/>
    <mergeCell ref="U91:W91"/>
    <mergeCell ref="B90:C90"/>
    <mergeCell ref="I90:K90"/>
    <mergeCell ref="L90:M90"/>
    <mergeCell ref="O90:Q90"/>
    <mergeCell ref="R90:T90"/>
    <mergeCell ref="U90:W90"/>
    <mergeCell ref="B93:C93"/>
    <mergeCell ref="I93:K93"/>
    <mergeCell ref="L93:N93"/>
    <mergeCell ref="O93:Q93"/>
    <mergeCell ref="R93:T93"/>
    <mergeCell ref="U93:W93"/>
    <mergeCell ref="B92:C92"/>
    <mergeCell ref="I92:K92"/>
    <mergeCell ref="L92:M92"/>
    <mergeCell ref="O92:Q92"/>
    <mergeCell ref="R92:T92"/>
    <mergeCell ref="U92:W92"/>
    <mergeCell ref="B95:C95"/>
    <mergeCell ref="I95:J95"/>
    <mergeCell ref="L95:N95"/>
    <mergeCell ref="O95:Q95"/>
    <mergeCell ref="R95:T95"/>
    <mergeCell ref="U95:W95"/>
    <mergeCell ref="B94:C94"/>
    <mergeCell ref="I94:J94"/>
    <mergeCell ref="L94:N94"/>
    <mergeCell ref="O94:Q94"/>
    <mergeCell ref="R94:T94"/>
    <mergeCell ref="U94:W94"/>
    <mergeCell ref="B97:C97"/>
    <mergeCell ref="I97:J97"/>
    <mergeCell ref="L97:N97"/>
    <mergeCell ref="O97:Q97"/>
    <mergeCell ref="R97:T97"/>
    <mergeCell ref="U97:W97"/>
    <mergeCell ref="B96:C96"/>
    <mergeCell ref="I96:J96"/>
    <mergeCell ref="L96:N96"/>
    <mergeCell ref="O96:Q96"/>
    <mergeCell ref="R96:T96"/>
    <mergeCell ref="U96:W96"/>
    <mergeCell ref="B99:C99"/>
    <mergeCell ref="I99:J99"/>
    <mergeCell ref="L99:N99"/>
    <mergeCell ref="O99:Q99"/>
    <mergeCell ref="R99:T99"/>
    <mergeCell ref="U99:W99"/>
    <mergeCell ref="B98:C98"/>
    <mergeCell ref="I98:J98"/>
    <mergeCell ref="L98:N98"/>
    <mergeCell ref="O98:Q98"/>
    <mergeCell ref="R98:T98"/>
    <mergeCell ref="U98:W98"/>
    <mergeCell ref="I102:K102"/>
    <mergeCell ref="L102:N102"/>
    <mergeCell ref="O102:Q102"/>
    <mergeCell ref="R102:T102"/>
    <mergeCell ref="U102:W102"/>
    <mergeCell ref="Q103:S103"/>
    <mergeCell ref="T103:V103"/>
    <mergeCell ref="W103:X103"/>
    <mergeCell ref="I100:K100"/>
    <mergeCell ref="L100:M100"/>
    <mergeCell ref="O100:Q100"/>
    <mergeCell ref="R100:T100"/>
    <mergeCell ref="U100:W100"/>
    <mergeCell ref="I101:M101"/>
    <mergeCell ref="N101:P101"/>
    <mergeCell ref="Q101:S101"/>
    <mergeCell ref="T101:V101"/>
    <mergeCell ref="W101:X101"/>
    <mergeCell ref="I109:J109"/>
    <mergeCell ref="I105:J105"/>
    <mergeCell ref="L105:M105"/>
    <mergeCell ref="O105:Q105"/>
    <mergeCell ref="I106:J106"/>
    <mergeCell ref="L106:M106"/>
    <mergeCell ref="I108:J108"/>
    <mergeCell ref="L108:M108"/>
    <mergeCell ref="P108:Q10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DDEA-20FC-4611-8DC9-0DF38A97AEE8}">
  <dimension ref="A2:Y109"/>
  <sheetViews>
    <sheetView tabSelected="1" topLeftCell="A69" workbookViewId="0">
      <selection sqref="A1:X106"/>
    </sheetView>
  </sheetViews>
  <sheetFormatPr defaultColWidth="8.85546875"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129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59" t="s">
        <v>117</v>
      </c>
      <c r="F8" s="60"/>
      <c r="G8" s="60"/>
      <c r="H8" s="60"/>
      <c r="I8" s="61"/>
      <c r="J8" s="61"/>
      <c r="K8" s="61"/>
      <c r="L8" s="61"/>
      <c r="M8" s="61"/>
      <c r="N8" s="61"/>
      <c r="O8" s="61"/>
      <c r="P8" s="61"/>
    </row>
    <row r="9" spans="3:20" x14ac:dyDescent="0.25">
      <c r="C9" s="42" t="s">
        <v>118</v>
      </c>
      <c r="D9" s="63"/>
      <c r="E9" s="28" t="s">
        <v>130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 t="shared" ref="G41:G46" si="0">H41+I41+L41+O41</f>
        <v>29414.761999999999</v>
      </c>
      <c r="H41" s="31">
        <f>H42+H43+H44</f>
        <v>8162.8819999999996</v>
      </c>
      <c r="I41" s="120">
        <f>I42+I43+I44</f>
        <v>8643.7999999999993</v>
      </c>
      <c r="J41" s="88"/>
      <c r="K41" s="87"/>
      <c r="L41" s="120">
        <f>L42+L43+L44</f>
        <v>7454.7800000000007</v>
      </c>
      <c r="M41" s="88"/>
      <c r="N41" s="87"/>
      <c r="O41" s="120">
        <f>O42+O43+O44</f>
        <v>5153.3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31">
        <f t="shared" si="0"/>
        <v>18036.600000000002</v>
      </c>
      <c r="H42" s="31">
        <f>4906.8</f>
        <v>4906.8</v>
      </c>
      <c r="I42" s="86">
        <v>4906.8</v>
      </c>
      <c r="J42" s="88"/>
      <c r="K42" s="87"/>
      <c r="L42" s="86">
        <v>4906.8</v>
      </c>
      <c r="M42" s="88"/>
      <c r="N42" s="87"/>
      <c r="O42" s="86">
        <f>3146.4+169.8</f>
        <v>3316.2000000000003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 t="shared" si="0"/>
        <v>10900.662</v>
      </c>
      <c r="H43" s="31">
        <f>2835.4+150+140.682</f>
        <v>3126.0819999999999</v>
      </c>
      <c r="I43" s="124">
        <f>2707.1+330+200+100+136+8.9+125</f>
        <v>3607</v>
      </c>
      <c r="J43" s="125"/>
      <c r="K43" s="126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 t="shared" si="0"/>
        <v>477.5</v>
      </c>
      <c r="H44" s="31">
        <f>H45+H46</f>
        <v>130</v>
      </c>
      <c r="I44" s="120">
        <f>I45+I46</f>
        <v>130</v>
      </c>
      <c r="J44" s="122"/>
      <c r="K44" s="123"/>
      <c r="L44" s="120">
        <f>L45+L46</f>
        <v>130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 t="shared" si="0"/>
        <v>400</v>
      </c>
      <c r="H45" s="32">
        <v>100</v>
      </c>
      <c r="I45" s="130">
        <v>100</v>
      </c>
      <c r="J45" s="131"/>
      <c r="K45" s="132"/>
      <c r="L45" s="130">
        <v>100</v>
      </c>
      <c r="M45" s="131"/>
      <c r="N45" s="132"/>
      <c r="O45" s="130">
        <v>100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f t="shared" si="0"/>
        <v>120</v>
      </c>
      <c r="H46" s="32">
        <v>30</v>
      </c>
      <c r="I46" s="130">
        <v>30</v>
      </c>
      <c r="J46" s="131"/>
      <c r="K46" s="132"/>
      <c r="L46" s="130">
        <v>30</v>
      </c>
      <c r="M46" s="131"/>
      <c r="N46" s="132"/>
      <c r="O46" s="130">
        <v>30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29414.751399999997</v>
      </c>
      <c r="H48" s="31">
        <f>H50+H56+H58+H66+H69+H61+H60+H57+H59</f>
        <v>8165.0572000000002</v>
      </c>
      <c r="I48" s="120">
        <f>I50+I56+I58+I66+I69+I60+I61+I74+I59+I68+I57</f>
        <v>8357.9861999999994</v>
      </c>
      <c r="J48" s="122"/>
      <c r="K48" s="123"/>
      <c r="L48" s="120">
        <f>L50+L56+L58+L61+L66+L69+L60+L57</f>
        <v>7174.73</v>
      </c>
      <c r="M48" s="122"/>
      <c r="N48" s="123"/>
      <c r="O48" s="120">
        <f>O50+O56+O58+O61+O66+O69+O60+O57</f>
        <v>5716.9780000000001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1957.529</v>
      </c>
      <c r="H50" s="31">
        <f>H51+H54+H55+H52+H53</f>
        <v>1083.5</v>
      </c>
      <c r="I50" s="120">
        <f>I51+I54+I55+I53</f>
        <v>514.029</v>
      </c>
      <c r="J50" s="122"/>
      <c r="K50" s="123"/>
      <c r="L50" s="120">
        <f>L51+L52+L53+L54</f>
        <v>285</v>
      </c>
      <c r="M50" s="88"/>
      <c r="N50" s="87"/>
      <c r="O50" s="86">
        <f>O51+O52+O53+O54</f>
        <v>75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661</v>
      </c>
      <c r="H51" s="22">
        <f>H52+60</f>
        <v>180</v>
      </c>
      <c r="I51" s="86">
        <f>I52+60</f>
        <v>271</v>
      </c>
      <c r="J51" s="88"/>
      <c r="K51" s="87"/>
      <c r="L51" s="86">
        <f>L52+60</f>
        <v>160</v>
      </c>
      <c r="M51" s="88"/>
      <c r="N51" s="87"/>
      <c r="O51" s="86">
        <f>O52+50</f>
        <v>50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331</v>
      </c>
      <c r="H52" s="11">
        <v>120</v>
      </c>
      <c r="I52" s="141">
        <f>75+136</f>
        <v>211</v>
      </c>
      <c r="J52" s="142"/>
      <c r="K52" s="143"/>
      <c r="L52" s="141">
        <v>100</v>
      </c>
      <c r="M52" s="142"/>
      <c r="N52" s="143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75</v>
      </c>
      <c r="H53" s="2">
        <v>25</v>
      </c>
      <c r="I53" s="147">
        <v>0</v>
      </c>
      <c r="J53" s="148"/>
      <c r="K53" s="149"/>
      <c r="L53" s="147">
        <v>25</v>
      </c>
      <c r="M53" s="148"/>
      <c r="N53" s="149"/>
      <c r="O53" s="147">
        <v>25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14600</v>
      </c>
      <c r="H56" s="31">
        <v>3800</v>
      </c>
      <c r="I56" s="86">
        <v>3800</v>
      </c>
      <c r="J56" s="88"/>
      <c r="K56" s="87"/>
      <c r="L56" s="86">
        <v>3800</v>
      </c>
      <c r="M56" s="88"/>
      <c r="N56" s="87"/>
      <c r="O56" s="86">
        <v>3200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4492.34</v>
      </c>
      <c r="H57" s="11">
        <f>757.26+130</f>
        <v>887.26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3212</v>
      </c>
      <c r="H58" s="31">
        <f>H56*22%</f>
        <v>836</v>
      </c>
      <c r="I58" s="120">
        <f t="shared" ref="I58:L59" si="1">I56*22%</f>
        <v>836</v>
      </c>
      <c r="J58" s="122"/>
      <c r="K58" s="123"/>
      <c r="L58" s="120">
        <f t="shared" si="1"/>
        <v>836</v>
      </c>
      <c r="M58" s="122"/>
      <c r="N58" s="123"/>
      <c r="O58" s="120">
        <f t="shared" ref="O58:O59" si="2">O56*22%</f>
        <v>704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988.31479999999988</v>
      </c>
      <c r="H59" s="51">
        <f>H57*22%</f>
        <v>195.19720000000001</v>
      </c>
      <c r="I59" s="150">
        <f>I57*22%</f>
        <v>311.79719999999998</v>
      </c>
      <c r="J59" s="151"/>
      <c r="K59" s="152"/>
      <c r="L59" s="150">
        <f t="shared" si="1"/>
        <v>314.72319999999996</v>
      </c>
      <c r="M59" s="151"/>
      <c r="N59" s="152"/>
      <c r="O59" s="150">
        <f t="shared" si="2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485.47</v>
      </c>
      <c r="H60" s="32">
        <v>120</v>
      </c>
      <c r="I60" s="130">
        <v>120</v>
      </c>
      <c r="J60" s="131"/>
      <c r="K60" s="132"/>
      <c r="L60" s="130">
        <f>150-29.53</f>
        <v>120.47</v>
      </c>
      <c r="M60" s="131"/>
      <c r="N60" s="132"/>
      <c r="O60" s="130">
        <f>150-25</f>
        <v>125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1208.1500000000001</v>
      </c>
      <c r="H61" s="22">
        <f>H62+H63+H64+H65</f>
        <v>501.1</v>
      </c>
      <c r="I61" s="86">
        <f>I62+I63+I64+I65</f>
        <v>167.9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599.29999999999995</v>
      </c>
      <c r="H63" s="2">
        <v>210</v>
      </c>
      <c r="I63" s="155">
        <f>135+7.1</f>
        <v>142.1</v>
      </c>
      <c r="J63" s="156"/>
      <c r="K63" s="157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40.9</v>
      </c>
      <c r="H65" s="2">
        <v>14.6</v>
      </c>
      <c r="I65" s="155">
        <f>7.5+1.8</f>
        <v>9.3000000000000007</v>
      </c>
      <c r="J65" s="156"/>
      <c r="K65" s="157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977.9</v>
      </c>
      <c r="H66" s="22">
        <f>H67+60</f>
        <v>232</v>
      </c>
      <c r="I66" s="86">
        <f>I67+35</f>
        <v>376</v>
      </c>
      <c r="J66" s="88"/>
      <c r="K66" s="87"/>
      <c r="L66" s="86">
        <f>L67+30</f>
        <v>196</v>
      </c>
      <c r="M66" s="88"/>
      <c r="N66" s="87"/>
      <c r="O66" s="86">
        <f>O67+30</f>
        <v>173.9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822.9</v>
      </c>
      <c r="H67" s="11">
        <v>172</v>
      </c>
      <c r="I67" s="144">
        <f>141+200</f>
        <v>341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50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1849.3679999999999</v>
      </c>
      <c r="H69" s="22">
        <f>360+150</f>
        <v>510</v>
      </c>
      <c r="I69" s="86">
        <f>360+330</f>
        <v>690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4200.3148000000001</v>
      </c>
      <c r="H71" s="31">
        <f>H58+H59</f>
        <v>1031.1972000000001</v>
      </c>
      <c r="I71" s="120">
        <f>I58+I59</f>
        <v>1147.7972</v>
      </c>
      <c r="J71" s="122"/>
      <c r="K71" s="123"/>
      <c r="L71" s="120">
        <f>L58+L59</f>
        <v>1150.7231999999999</v>
      </c>
      <c r="M71" s="122"/>
      <c r="N71" s="123"/>
      <c r="O71" s="120">
        <f>O58+O59</f>
        <v>870.59719999999993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3888.0396000000001</v>
      </c>
      <c r="H72" s="31">
        <f>(H56+H57)*23%</f>
        <v>1078.0698</v>
      </c>
      <c r="I72" s="120">
        <f>(I56+I57)*23%</f>
        <v>1199.9698000000001</v>
      </c>
      <c r="J72" s="122"/>
      <c r="K72" s="123"/>
      <c r="L72" s="120">
        <f>L56*23%</f>
        <v>874</v>
      </c>
      <c r="M72" s="122"/>
      <c r="N72" s="123"/>
      <c r="O72" s="120">
        <f>O56*23%</f>
        <v>736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125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125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125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125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29414.752</v>
      </c>
      <c r="H83" s="31">
        <f>H41</f>
        <v>8162.8819999999996</v>
      </c>
      <c r="I83" s="86">
        <f>I41</f>
        <v>8643.7999999999993</v>
      </c>
      <c r="J83" s="88"/>
      <c r="K83" s="87"/>
      <c r="L83" s="86">
        <f>L41</f>
        <v>7454.7800000000007</v>
      </c>
      <c r="M83" s="88"/>
      <c r="N83" s="87"/>
      <c r="O83" s="86">
        <f>O41</f>
        <v>5153.3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29414.751399999997</v>
      </c>
      <c r="H84" s="31">
        <f>H48+H74</f>
        <v>8165.0572000000002</v>
      </c>
      <c r="I84" s="120">
        <f>I48</f>
        <v>8357.9861999999994</v>
      </c>
      <c r="J84" s="122"/>
      <c r="K84" s="123"/>
      <c r="L84" s="120">
        <f>L48+L74</f>
        <v>7174.73</v>
      </c>
      <c r="M84" s="122"/>
      <c r="N84" s="123"/>
      <c r="O84" s="120">
        <f>O48+O74</f>
        <v>5716.9780000000001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6.0000000303261913E-4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33564.229999999996</v>
      </c>
      <c r="F93" s="33">
        <f>F94+F95+F96+F97+F98+F99</f>
        <v>14471.89</v>
      </c>
      <c r="G93" s="31">
        <f>H93+I93+L93+O93</f>
        <v>19092.34</v>
      </c>
      <c r="H93" s="31">
        <f>H56+H57</f>
        <v>4687.26</v>
      </c>
      <c r="I93" s="173">
        <f>I56+I57</f>
        <v>5217.26</v>
      </c>
      <c r="J93" s="174"/>
      <c r="K93" s="175"/>
      <c r="L93" s="173">
        <f>L56+L57</f>
        <v>5230.5599999999995</v>
      </c>
      <c r="M93" s="174"/>
      <c r="N93" s="175"/>
      <c r="O93" s="86">
        <f>O56+O57</f>
        <v>3957.26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2031.5</v>
      </c>
      <c r="F94" s="34">
        <v>820</v>
      </c>
      <c r="G94" s="32">
        <f>H94+I94+L94+O94</f>
        <v>1211.5</v>
      </c>
      <c r="H94" s="32">
        <v>285</v>
      </c>
      <c r="I94" s="130">
        <f>285+26.5</f>
        <v>311.5</v>
      </c>
      <c r="J94" s="132"/>
      <c r="K94" s="32">
        <v>285</v>
      </c>
      <c r="L94" s="179">
        <v>330</v>
      </c>
      <c r="M94" s="180"/>
      <c r="N94" s="181"/>
      <c r="O94" s="130">
        <v>285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11873.56</v>
      </c>
      <c r="F95" s="34">
        <v>4288</v>
      </c>
      <c r="G95" s="32">
        <f t="shared" si="7"/>
        <v>7585.5599999999995</v>
      </c>
      <c r="H95" s="2">
        <v>1800</v>
      </c>
      <c r="I95" s="147">
        <v>2100</v>
      </c>
      <c r="J95" s="149"/>
      <c r="K95" s="2">
        <v>2141.5</v>
      </c>
      <c r="L95" s="176">
        <f>2100-14.44</f>
        <v>2085.56</v>
      </c>
      <c r="M95" s="177"/>
      <c r="N95" s="178"/>
      <c r="O95" s="147">
        <v>1600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7850</v>
      </c>
      <c r="F96" s="34">
        <v>4150</v>
      </c>
      <c r="G96" s="32">
        <f t="shared" si="7"/>
        <v>3700</v>
      </c>
      <c r="H96" s="2">
        <v>850</v>
      </c>
      <c r="I96" s="147">
        <v>1050</v>
      </c>
      <c r="J96" s="149"/>
      <c r="K96" s="2">
        <v>970.16</v>
      </c>
      <c r="L96" s="176">
        <v>1050</v>
      </c>
      <c r="M96" s="177"/>
      <c r="N96" s="178"/>
      <c r="O96" s="147">
        <v>750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9008.57</v>
      </c>
      <c r="F97" s="34">
        <v>3723.09</v>
      </c>
      <c r="G97" s="32">
        <f t="shared" si="7"/>
        <v>5285.48</v>
      </c>
      <c r="H97" s="2">
        <v>1404.86</v>
      </c>
      <c r="I97" s="147">
        <v>1408.36</v>
      </c>
      <c r="J97" s="149"/>
      <c r="K97" s="2">
        <v>1563.2</v>
      </c>
      <c r="L97" s="176">
        <v>1450</v>
      </c>
      <c r="M97" s="177"/>
      <c r="N97" s="178"/>
      <c r="O97" s="147">
        <f>1250-227.74</f>
        <v>1022.26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1411.1999999999998</v>
      </c>
      <c r="F98" s="34">
        <v>758.8</v>
      </c>
      <c r="G98" s="32">
        <f t="shared" si="7"/>
        <v>652.4</v>
      </c>
      <c r="H98" s="2">
        <v>173.7</v>
      </c>
      <c r="I98" s="147">
        <v>173.7</v>
      </c>
      <c r="J98" s="149"/>
      <c r="K98" s="2">
        <v>173.7</v>
      </c>
      <c r="L98" s="176">
        <v>155</v>
      </c>
      <c r="M98" s="177"/>
      <c r="N98" s="178"/>
      <c r="O98" s="147">
        <v>150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1389.4</v>
      </c>
      <c r="F99" s="34">
        <v>732</v>
      </c>
      <c r="G99" s="32">
        <f t="shared" si="7"/>
        <v>657.4</v>
      </c>
      <c r="H99" s="2">
        <v>173.7</v>
      </c>
      <c r="I99" s="147">
        <v>173.7</v>
      </c>
      <c r="J99" s="149"/>
      <c r="K99" s="2">
        <v>173.7</v>
      </c>
      <c r="L99" s="147">
        <v>160</v>
      </c>
      <c r="M99" s="148"/>
      <c r="N99" s="149"/>
      <c r="O99" s="147">
        <v>150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55" t="s">
        <v>83</v>
      </c>
      <c r="D101" s="56"/>
      <c r="E101" s="56"/>
      <c r="F101" s="56"/>
      <c r="G101" s="56"/>
      <c r="H101" s="56"/>
      <c r="I101" s="187" t="s">
        <v>84</v>
      </c>
      <c r="J101" s="187"/>
      <c r="K101" s="187"/>
      <c r="L101" s="187"/>
      <c r="M101" s="187"/>
      <c r="N101" s="183"/>
      <c r="O101" s="183"/>
      <c r="P101" s="183"/>
      <c r="Q101" s="183"/>
      <c r="R101" s="183"/>
      <c r="S101" s="183"/>
      <c r="T101" s="183"/>
      <c r="U101" s="183"/>
      <c r="V101" s="183"/>
      <c r="W101" s="184"/>
      <c r="X101" s="184"/>
    </row>
    <row r="102" spans="1:24" ht="18.75" x14ac:dyDescent="0.3">
      <c r="C102" s="56"/>
      <c r="D102" s="56"/>
      <c r="E102" s="56"/>
      <c r="F102" s="56"/>
      <c r="G102" s="56"/>
      <c r="H102" s="58"/>
      <c r="I102" s="182"/>
      <c r="J102" s="183"/>
      <c r="K102" s="183"/>
      <c r="L102" s="182"/>
      <c r="M102" s="183"/>
      <c r="N102" s="183"/>
      <c r="O102" s="182"/>
      <c r="P102" s="183"/>
      <c r="Q102" s="183"/>
      <c r="R102" s="183"/>
      <c r="S102" s="183"/>
      <c r="T102" s="183"/>
      <c r="U102" s="183"/>
      <c r="V102" s="183"/>
      <c r="W102" s="183"/>
      <c r="X102" s="57"/>
    </row>
    <row r="103" spans="1:24" ht="18.75" x14ac:dyDescent="0.3">
      <c r="C103" s="55" t="s">
        <v>85</v>
      </c>
      <c r="D103" s="56"/>
      <c r="E103" s="56"/>
      <c r="F103" s="56"/>
      <c r="G103" s="56"/>
      <c r="H103" s="56"/>
      <c r="I103" s="55" t="s">
        <v>86</v>
      </c>
      <c r="J103" s="55"/>
      <c r="K103" s="55"/>
      <c r="L103" s="55"/>
      <c r="M103" s="55"/>
      <c r="N103" s="56"/>
      <c r="O103" s="56"/>
      <c r="P103" s="56"/>
      <c r="Q103" s="183"/>
      <c r="R103" s="183"/>
      <c r="S103" s="183"/>
      <c r="T103" s="183"/>
      <c r="U103" s="183"/>
      <c r="V103" s="183"/>
      <c r="W103" s="184"/>
      <c r="X103" s="184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  <c r="H105" s="52"/>
      <c r="I105" s="188"/>
      <c r="J105" s="189"/>
      <c r="L105" s="188"/>
      <c r="M105" s="189"/>
      <c r="O105" s="188"/>
      <c r="P105" s="189"/>
      <c r="Q105" s="189"/>
    </row>
    <row r="106" spans="1:24" x14ac:dyDescent="0.25">
      <c r="H106" s="52"/>
      <c r="I106" s="188"/>
      <c r="J106" s="189"/>
      <c r="L106" s="188"/>
      <c r="M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I109:J109"/>
    <mergeCell ref="I105:J105"/>
    <mergeCell ref="L105:M105"/>
    <mergeCell ref="O105:Q105"/>
    <mergeCell ref="I106:J106"/>
    <mergeCell ref="L106:M106"/>
    <mergeCell ref="I108:J108"/>
    <mergeCell ref="L108:M108"/>
    <mergeCell ref="P108:Q108"/>
    <mergeCell ref="I102:K102"/>
    <mergeCell ref="L102:N102"/>
    <mergeCell ref="O102:Q102"/>
    <mergeCell ref="R102:T102"/>
    <mergeCell ref="U102:W102"/>
    <mergeCell ref="Q103:S103"/>
    <mergeCell ref="T103:V103"/>
    <mergeCell ref="W103:X103"/>
    <mergeCell ref="I100:K100"/>
    <mergeCell ref="L100:M100"/>
    <mergeCell ref="O100:Q100"/>
    <mergeCell ref="R100:T100"/>
    <mergeCell ref="U100:W100"/>
    <mergeCell ref="I101:M101"/>
    <mergeCell ref="N101:P101"/>
    <mergeCell ref="Q101:S101"/>
    <mergeCell ref="T101:V101"/>
    <mergeCell ref="W101:X101"/>
    <mergeCell ref="B99:C99"/>
    <mergeCell ref="I99:J99"/>
    <mergeCell ref="L99:N99"/>
    <mergeCell ref="O99:Q99"/>
    <mergeCell ref="R99:T99"/>
    <mergeCell ref="U99:W99"/>
    <mergeCell ref="B98:C98"/>
    <mergeCell ref="I98:J98"/>
    <mergeCell ref="L98:N98"/>
    <mergeCell ref="O98:Q98"/>
    <mergeCell ref="R98:T98"/>
    <mergeCell ref="U98:W98"/>
    <mergeCell ref="B97:C97"/>
    <mergeCell ref="I97:J97"/>
    <mergeCell ref="L97:N97"/>
    <mergeCell ref="O97:Q97"/>
    <mergeCell ref="R97:T97"/>
    <mergeCell ref="U97:W97"/>
    <mergeCell ref="B96:C96"/>
    <mergeCell ref="I96:J96"/>
    <mergeCell ref="L96:N96"/>
    <mergeCell ref="O96:Q96"/>
    <mergeCell ref="R96:T96"/>
    <mergeCell ref="U96:W96"/>
    <mergeCell ref="B95:C95"/>
    <mergeCell ref="I95:J95"/>
    <mergeCell ref="L95:N95"/>
    <mergeCell ref="O95:Q95"/>
    <mergeCell ref="R95:T95"/>
    <mergeCell ref="U95:W95"/>
    <mergeCell ref="B94:C94"/>
    <mergeCell ref="I94:J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M92"/>
    <mergeCell ref="O92:Q92"/>
    <mergeCell ref="R92:T92"/>
    <mergeCell ref="U92:W92"/>
    <mergeCell ref="B91:C91"/>
    <mergeCell ref="I91:K91"/>
    <mergeCell ref="L91:M91"/>
    <mergeCell ref="O91:Q91"/>
    <mergeCell ref="R91:T91"/>
    <mergeCell ref="U91:W91"/>
    <mergeCell ref="B90:C90"/>
    <mergeCell ref="I90:K90"/>
    <mergeCell ref="L90:M90"/>
    <mergeCell ref="O90:Q90"/>
    <mergeCell ref="R90:T90"/>
    <mergeCell ref="U90:W90"/>
    <mergeCell ref="B89:C89"/>
    <mergeCell ref="I89:K89"/>
    <mergeCell ref="L89:M89"/>
    <mergeCell ref="O89:Q89"/>
    <mergeCell ref="R89:T89"/>
    <mergeCell ref="U89:W89"/>
    <mergeCell ref="B88:C88"/>
    <mergeCell ref="I88:K88"/>
    <mergeCell ref="L88:M88"/>
    <mergeCell ref="O88:Q88"/>
    <mergeCell ref="R88:T88"/>
    <mergeCell ref="U88:W88"/>
    <mergeCell ref="B87:C87"/>
    <mergeCell ref="I87:K87"/>
    <mergeCell ref="L87:M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U17:W17"/>
    <mergeCell ref="L18:N18"/>
    <mergeCell ref="O18:Q18"/>
    <mergeCell ref="R18:T18"/>
    <mergeCell ref="U18:W18"/>
    <mergeCell ref="L19:N19"/>
    <mergeCell ref="O19:Q19"/>
    <mergeCell ref="R19:T19"/>
    <mergeCell ref="U19:W19"/>
    <mergeCell ref="L16:N16"/>
    <mergeCell ref="O16:Q16"/>
    <mergeCell ref="R16:T16"/>
    <mergeCell ref="L17:N17"/>
    <mergeCell ref="O17:Q17"/>
    <mergeCell ref="R17:T17"/>
    <mergeCell ref="D5:D10"/>
    <mergeCell ref="C6:C7"/>
    <mergeCell ref="E7:H7"/>
    <mergeCell ref="L15:N15"/>
    <mergeCell ref="O15:Q15"/>
    <mergeCell ref="R15:T15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ФІІН.ПЛАН 2026 РОКУ</vt:lpstr>
      <vt:lpstr>ФІІН.ПЛАН 2026 РОКУ (2)</vt:lpstr>
      <vt:lpstr>ФІІН.ПЛАН 05.2026 РОКУ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KZCPMSD</dc:creator>
  <cp:lastModifiedBy>1 1</cp:lastModifiedBy>
  <cp:lastPrinted>2026-05-27T08:32:00Z</cp:lastPrinted>
  <dcterms:created xsi:type="dcterms:W3CDTF">2022-02-08T12:55:52Z</dcterms:created>
  <dcterms:modified xsi:type="dcterms:W3CDTF">2026-05-27T08:32:03Z</dcterms:modified>
</cp:coreProperties>
</file>